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Моя работа\Отчеты о возможных воздействиях\ОоВВ ЕГМК\Книга 2 Часть 2 - Расчет выбросов ЗВ на период СР\Площадка 2 - ШН\"/>
    </mc:Choice>
  </mc:AlternateContent>
  <xr:revisionPtr revIDLastSave="0" documentId="13_ncr:1_{7B07FE83-6E64-44ED-8AD3-EC9290117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введение" sheetId="12" r:id="rId1"/>
    <sheet name="содержание" sheetId="24" r:id="rId2"/>
    <sheet name="ИТОГО  от ШН" sheetId="23" r:id="rId3"/>
    <sheet name="2.1 снятие ПРС бульдозер" sheetId="1" r:id="rId4"/>
    <sheet name="2.2 погрузка экскаватора" sheetId="2" r:id="rId5"/>
    <sheet name="2.3 земляные работы" sheetId="3" r:id="rId6"/>
    <sheet name="2.4 транспортирование" sheetId="4" r:id="rId7"/>
    <sheet name="2.5.1 склад ПРС" sheetId="5" r:id="rId8"/>
    <sheet name="2.5.2 временные склады" sheetId="11" r:id="rId9"/>
    <sheet name="2.6 Сварка" sheetId="6" r:id="rId10"/>
    <sheet name="2.7сварка полиэтилена" sheetId="7" r:id="rId11"/>
    <sheet name="2.8ДЭС" sheetId="25" r:id="rId12"/>
    <sheet name="2.9 топливозаправщик" sheetId="10" r:id="rId13"/>
    <sheet name="2.10 транспорт" sheetId="8" r:id="rId14"/>
  </sheets>
  <definedNames>
    <definedName name="_Hlk194582329" localSheetId="0">введение!$A$4</definedName>
    <definedName name="_xlnm.Print_Titles" localSheetId="3">'2.1 снятие ПРС бульдозер'!$23:$25</definedName>
    <definedName name="_xlnm.Print_Titles" localSheetId="13">'2.10 транспорт'!$43:$47</definedName>
    <definedName name="_xlnm.Print_Titles" localSheetId="4">'2.2 погрузка экскаватора'!$22:$24</definedName>
    <definedName name="_xlnm.Print_Titles" localSheetId="5">'2.3 земляные работы'!$28:$31</definedName>
    <definedName name="_xlnm.Print_Titles" localSheetId="6">'2.4 транспортирование'!$30:$32</definedName>
    <definedName name="_xlnm.Print_Titles" localSheetId="7">'2.5.1 склад ПРС'!$37:$40</definedName>
    <definedName name="_xlnm.Print_Titles" localSheetId="8">'2.5.2 временные склады'!$1:$4</definedName>
    <definedName name="_xlnm.Print_Titles" localSheetId="9">'2.6 Сварка'!$27:$30</definedName>
    <definedName name="_xlnm.Print_Titles" localSheetId="10">'2.7сварка полиэтилена'!$20:$24</definedName>
    <definedName name="_xlnm.Print_Titles" localSheetId="11">'2.8ДЭС'!$20:$23</definedName>
    <definedName name="_xlnm.Print_Titles" localSheetId="12">'2.9 топливозаправщик'!$38:$41</definedName>
    <definedName name="_xlnm.Print_Titles" localSheetId="2">'ИТОГО  от ШН'!$B:$C,'ИТОГО  от ШН'!$3:$4</definedName>
    <definedName name="_xlnm.Print_Area" localSheetId="3">'2.1 снятие ПРС бульдозер'!$A$1:$P$59</definedName>
    <definedName name="_xlnm.Print_Area" localSheetId="13">'2.10 транспорт'!$A$1:$AF$1208</definedName>
    <definedName name="_xlnm.Print_Area" localSheetId="4">'2.2 погрузка экскаватора'!$A$1:$P$70</definedName>
    <definedName name="_xlnm.Print_Area" localSheetId="5">'2.3 земляные работы'!$A$1:$R$208</definedName>
    <definedName name="_xlnm.Print_Area" localSheetId="6">'2.4 транспортирование'!$A$1:$U$155</definedName>
    <definedName name="_xlnm.Print_Area" localSheetId="7">'2.5.1 склад ПРС'!$A$1:$Y$89</definedName>
    <definedName name="_xlnm.Print_Area" localSheetId="8">'2.5.2 временные склады'!$A$1:$Y$164</definedName>
    <definedName name="_xlnm.Print_Area" localSheetId="9">'2.6 Сварка'!$A$1:$K$98</definedName>
    <definedName name="_xlnm.Print_Area" localSheetId="10">'2.7сварка полиэтилена'!$A$1:$I$97</definedName>
    <definedName name="_xlnm.Print_Area" localSheetId="11">'2.8ДЭС'!$A$1:$N$253</definedName>
    <definedName name="_xlnm.Print_Area" localSheetId="12">'2.9 топливозаправщик'!$A$1:$O$84</definedName>
    <definedName name="_xlnm.Print_Area" localSheetId="0">введение!$A$1:$I$51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7" i="5" l="1"/>
  <c r="K49" i="7"/>
  <c r="J49" i="7"/>
  <c r="AI125" i="23"/>
  <c r="AI123" i="23"/>
  <c r="AI122" i="23"/>
  <c r="AI115" i="23"/>
  <c r="AI114" i="23"/>
  <c r="AH125" i="23"/>
  <c r="AH123" i="23"/>
  <c r="AH122" i="23"/>
  <c r="AH115" i="23"/>
  <c r="AH114" i="23"/>
  <c r="AG123" i="23"/>
  <c r="AG122" i="23"/>
  <c r="AG115" i="23"/>
  <c r="AG114" i="23"/>
  <c r="AF123" i="23"/>
  <c r="AF122" i="23"/>
  <c r="AF115" i="23"/>
  <c r="AF114" i="23"/>
  <c r="AE123" i="23"/>
  <c r="AE122" i="23"/>
  <c r="AE115" i="23"/>
  <c r="AE114" i="23"/>
  <c r="AD123" i="23"/>
  <c r="AD122" i="23"/>
  <c r="AD115" i="23"/>
  <c r="AD114" i="23"/>
  <c r="AC123" i="23"/>
  <c r="AC122" i="23"/>
  <c r="AC115" i="23"/>
  <c r="AC114" i="23"/>
  <c r="AB123" i="23"/>
  <c r="AB122" i="23"/>
  <c r="AB115" i="23"/>
  <c r="AB114" i="23"/>
  <c r="AA123" i="23"/>
  <c r="AA122" i="23"/>
  <c r="AA115" i="23"/>
  <c r="AA114" i="23"/>
  <c r="Z123" i="23"/>
  <c r="Z122" i="23"/>
  <c r="Z115" i="23"/>
  <c r="Z114" i="23"/>
  <c r="Y123" i="23"/>
  <c r="Y122" i="23"/>
  <c r="Y115" i="23"/>
  <c r="Y114" i="23"/>
  <c r="X123" i="23"/>
  <c r="X122" i="23"/>
  <c r="X115" i="23"/>
  <c r="X114" i="23"/>
  <c r="W123" i="23"/>
  <c r="W122" i="23"/>
  <c r="W115" i="23"/>
  <c r="W114" i="23"/>
  <c r="V123" i="23"/>
  <c r="V122" i="23"/>
  <c r="V115" i="23"/>
  <c r="V114" i="23"/>
  <c r="U123" i="23"/>
  <c r="U122" i="23"/>
  <c r="U115" i="23"/>
  <c r="U114" i="23"/>
  <c r="T123" i="23"/>
  <c r="T122" i="23"/>
  <c r="T115" i="23"/>
  <c r="T114" i="23"/>
  <c r="S123" i="23"/>
  <c r="S122" i="23"/>
  <c r="S115" i="23"/>
  <c r="S114" i="23"/>
  <c r="R123" i="23"/>
  <c r="R122" i="23"/>
  <c r="R115" i="23"/>
  <c r="R114" i="23"/>
  <c r="Q123" i="23"/>
  <c r="Q122" i="23"/>
  <c r="Q115" i="23"/>
  <c r="Q114" i="23"/>
  <c r="P123" i="23"/>
  <c r="P122" i="23"/>
  <c r="P115" i="23"/>
  <c r="P114" i="23"/>
  <c r="O123" i="23"/>
  <c r="O122" i="23"/>
  <c r="O115" i="23"/>
  <c r="O114" i="23"/>
  <c r="N123" i="23"/>
  <c r="N122" i="23"/>
  <c r="N115" i="23"/>
  <c r="N114" i="23"/>
  <c r="M127" i="23"/>
  <c r="M126" i="23"/>
  <c r="M125" i="23"/>
  <c r="M124" i="23"/>
  <c r="M123" i="23"/>
  <c r="M122" i="23"/>
  <c r="M121" i="23"/>
  <c r="M120" i="23"/>
  <c r="M119" i="23"/>
  <c r="M118" i="23"/>
  <c r="M117" i="23"/>
  <c r="M116" i="23"/>
  <c r="M115" i="23"/>
  <c r="M114" i="23"/>
  <c r="L127" i="23"/>
  <c r="L126" i="23"/>
  <c r="L125" i="23"/>
  <c r="L124" i="23"/>
  <c r="L123" i="23"/>
  <c r="L122" i="23"/>
  <c r="L121" i="23"/>
  <c r="L120" i="23"/>
  <c r="L119" i="23"/>
  <c r="L118" i="23"/>
  <c r="L117" i="23"/>
  <c r="L116" i="23"/>
  <c r="L115" i="23"/>
  <c r="L114" i="23"/>
  <c r="K125" i="23"/>
  <c r="J125" i="23"/>
  <c r="AG24" i="23"/>
  <c r="AG125" i="23" s="1"/>
  <c r="AG23" i="23"/>
  <c r="AF24" i="23"/>
  <c r="AF125" i="23" s="1"/>
  <c r="AF23" i="23"/>
  <c r="AA24" i="23"/>
  <c r="AA125" i="23" s="1"/>
  <c r="AA23" i="23"/>
  <c r="Z24" i="23"/>
  <c r="Z125" i="23" s="1"/>
  <c r="Z23" i="23"/>
  <c r="U24" i="23"/>
  <c r="U125" i="23" s="1"/>
  <c r="U23" i="23"/>
  <c r="T24" i="23"/>
  <c r="T125" i="23" s="1"/>
  <c r="T23" i="23"/>
  <c r="Q24" i="23"/>
  <c r="Q125" i="23" s="1"/>
  <c r="Q23" i="23"/>
  <c r="P24" i="23"/>
  <c r="P125" i="23" s="1"/>
  <c r="P23" i="23"/>
  <c r="I24" i="23"/>
  <c r="I23" i="23"/>
  <c r="H24" i="23"/>
  <c r="H23" i="23"/>
  <c r="K97" i="7"/>
  <c r="J97" i="7"/>
  <c r="K85" i="7"/>
  <c r="J85" i="7"/>
  <c r="K73" i="7"/>
  <c r="J73" i="7"/>
  <c r="J69" i="7"/>
  <c r="K61" i="7"/>
  <c r="J61" i="7"/>
  <c r="J36" i="7"/>
  <c r="E90" i="23"/>
  <c r="D90" i="23"/>
  <c r="E89" i="23"/>
  <c r="D89" i="23"/>
  <c r="I85" i="23"/>
  <c r="H85" i="23"/>
  <c r="E88" i="23"/>
  <c r="D88" i="23"/>
  <c r="Y162" i="11"/>
  <c r="X162" i="11"/>
  <c r="X161" i="11"/>
  <c r="Y161" i="11" s="1"/>
  <c r="Y160" i="11"/>
  <c r="X160" i="11"/>
  <c r="Y159" i="11"/>
  <c r="X159" i="11"/>
  <c r="Y149" i="11"/>
  <c r="X149" i="11"/>
  <c r="X148" i="11"/>
  <c r="Y148" i="11" s="1"/>
  <c r="Y147" i="11"/>
  <c r="X147" i="11"/>
  <c r="Y146" i="11"/>
  <c r="X146" i="11"/>
  <c r="Y136" i="11"/>
  <c r="X136" i="11"/>
  <c r="X135" i="11"/>
  <c r="Y135" i="11" s="1"/>
  <c r="Y134" i="11"/>
  <c r="X134" i="11"/>
  <c r="Y133" i="11"/>
  <c r="X133" i="11"/>
  <c r="Y129" i="11"/>
  <c r="X129" i="11"/>
  <c r="X128" i="11"/>
  <c r="Y128" i="11" s="1"/>
  <c r="Y127" i="11"/>
  <c r="X127" i="11"/>
  <c r="Y126" i="11"/>
  <c r="X126" i="11"/>
  <c r="Y109" i="11"/>
  <c r="X109" i="11"/>
  <c r="X108" i="11"/>
  <c r="Y108" i="11" s="1"/>
  <c r="Y107" i="11"/>
  <c r="X107" i="11"/>
  <c r="Y106" i="11"/>
  <c r="X106" i="11"/>
  <c r="Y102" i="11"/>
  <c r="X102" i="11"/>
  <c r="X101" i="11"/>
  <c r="Y101" i="11" s="1"/>
  <c r="Y100" i="11"/>
  <c r="X100" i="11"/>
  <c r="Y99" i="11"/>
  <c r="X99" i="11"/>
  <c r="Y95" i="11"/>
  <c r="X95" i="11"/>
  <c r="X94" i="11"/>
  <c r="Y94" i="11" s="1"/>
  <c r="Y93" i="11"/>
  <c r="X93" i="11"/>
  <c r="Y92" i="11"/>
  <c r="X92" i="11"/>
  <c r="Y82" i="11"/>
  <c r="X82" i="11"/>
  <c r="X81" i="11"/>
  <c r="Y81" i="11" s="1"/>
  <c r="Y80" i="11"/>
  <c r="X80" i="11"/>
  <c r="Y79" i="11"/>
  <c r="X79" i="11"/>
  <c r="Y75" i="11"/>
  <c r="X75" i="11"/>
  <c r="X74" i="11"/>
  <c r="Y74" i="11" s="1"/>
  <c r="Y73" i="11"/>
  <c r="X73" i="11"/>
  <c r="Y72" i="11"/>
  <c r="X72" i="11"/>
  <c r="Y62" i="11"/>
  <c r="X62" i="11"/>
  <c r="X61" i="11"/>
  <c r="Y61" i="11" s="1"/>
  <c r="Y60" i="11"/>
  <c r="X60" i="11"/>
  <c r="Y59" i="11"/>
  <c r="X59" i="11"/>
  <c r="Y42" i="11"/>
  <c r="X42" i="11"/>
  <c r="X41" i="11"/>
  <c r="Y41" i="11" s="1"/>
  <c r="Y40" i="11"/>
  <c r="X40" i="11"/>
  <c r="Y39" i="11"/>
  <c r="X39" i="11"/>
  <c r="Y122" i="11"/>
  <c r="X122" i="11"/>
  <c r="X121" i="11"/>
  <c r="Y121" i="11" s="1"/>
  <c r="Y120" i="11"/>
  <c r="X120" i="11"/>
  <c r="Y119" i="11"/>
  <c r="X119" i="11"/>
  <c r="Y55" i="11"/>
  <c r="X55" i="11"/>
  <c r="X54" i="11"/>
  <c r="Y54" i="11" s="1"/>
  <c r="Y53" i="11"/>
  <c r="X53" i="11"/>
  <c r="Y52" i="11"/>
  <c r="X52" i="11"/>
  <c r="Y23" i="11"/>
  <c r="X23" i="11"/>
  <c r="X22" i="11"/>
  <c r="Y22" i="11" s="1"/>
  <c r="Y21" i="11"/>
  <c r="X21" i="11"/>
  <c r="Y20" i="11"/>
  <c r="X20" i="11"/>
  <c r="Y36" i="11"/>
  <c r="X36" i="11"/>
  <c r="X35" i="11"/>
  <c r="Y35" i="11" s="1"/>
  <c r="Y34" i="11"/>
  <c r="X34" i="11"/>
  <c r="Y33" i="11"/>
  <c r="X33" i="11"/>
  <c r="Y137" i="11" l="1"/>
  <c r="AA137" i="11" s="1"/>
  <c r="AE89" i="23"/>
  <c r="X150" i="11"/>
  <c r="X163" i="11"/>
  <c r="Y163" i="11"/>
  <c r="Y150" i="11"/>
  <c r="X137" i="11"/>
  <c r="X96" i="11"/>
  <c r="X130" i="11"/>
  <c r="Y130" i="11"/>
  <c r="X110" i="11"/>
  <c r="Y110" i="11"/>
  <c r="X103" i="11"/>
  <c r="Y103" i="11"/>
  <c r="Y96" i="11"/>
  <c r="X83" i="11"/>
  <c r="Y83" i="11"/>
  <c r="X76" i="11"/>
  <c r="Y76" i="11"/>
  <c r="X63" i="11"/>
  <c r="Y63" i="11"/>
  <c r="X43" i="11"/>
  <c r="Y43" i="11"/>
  <c r="X123" i="11"/>
  <c r="Y123" i="11"/>
  <c r="X56" i="11"/>
  <c r="Y56" i="11"/>
  <c r="X24" i="11"/>
  <c r="Y24" i="11"/>
  <c r="X37" i="11"/>
  <c r="Y37" i="11"/>
  <c r="AH90" i="23" l="1"/>
  <c r="Z163" i="11"/>
  <c r="AI90" i="23"/>
  <c r="AA163" i="11"/>
  <c r="Z150" i="11"/>
  <c r="AF89" i="23"/>
  <c r="AG89" i="23"/>
  <c r="AA150" i="11"/>
  <c r="AD89" i="23"/>
  <c r="Z137" i="11"/>
  <c r="AC89" i="23"/>
  <c r="AA130" i="11"/>
  <c r="AB89" i="23"/>
  <c r="Z130" i="11"/>
  <c r="AA88" i="23"/>
  <c r="AA123" i="11"/>
  <c r="Z123" i="11"/>
  <c r="Z88" i="23"/>
  <c r="Z110" i="11"/>
  <c r="X89" i="23"/>
  <c r="Y89" i="23"/>
  <c r="AA110" i="11"/>
  <c r="V89" i="23"/>
  <c r="Z103" i="11"/>
  <c r="W89" i="23"/>
  <c r="AA103" i="11"/>
  <c r="T89" i="23"/>
  <c r="Z96" i="11"/>
  <c r="AA96" i="11"/>
  <c r="U89" i="23"/>
  <c r="S89" i="23"/>
  <c r="AA83" i="11"/>
  <c r="R89" i="23"/>
  <c r="Z83" i="11"/>
  <c r="P89" i="23"/>
  <c r="Z76" i="11"/>
  <c r="Q89" i="23"/>
  <c r="AA76" i="11"/>
  <c r="N89" i="23"/>
  <c r="Z63" i="11"/>
  <c r="O89" i="23"/>
  <c r="AA63" i="11"/>
  <c r="J88" i="23"/>
  <c r="Z56" i="11"/>
  <c r="K88" i="23"/>
  <c r="AA56" i="11"/>
  <c r="I89" i="23"/>
  <c r="AA43" i="11"/>
  <c r="H89" i="23"/>
  <c r="Z43" i="11"/>
  <c r="F88" i="23"/>
  <c r="AD24" i="11"/>
  <c r="Z24" i="11"/>
  <c r="AA24" i="11"/>
  <c r="G88" i="23"/>
  <c r="I96" i="7"/>
  <c r="H96" i="7" s="1"/>
  <c r="E99" i="7"/>
  <c r="C99" i="7"/>
  <c r="I97" i="7"/>
  <c r="H97" i="7" s="1"/>
  <c r="I84" i="7"/>
  <c r="H84" i="7" s="1"/>
  <c r="I85" i="7"/>
  <c r="H85" i="7" s="1"/>
  <c r="I73" i="7"/>
  <c r="H73" i="7" s="1"/>
  <c r="I72" i="7"/>
  <c r="H72" i="7" s="1"/>
  <c r="I60" i="7"/>
  <c r="H60" i="7" s="1"/>
  <c r="I64" i="7"/>
  <c r="I52" i="7"/>
  <c r="I61" i="7"/>
  <c r="H61" i="7" s="1"/>
  <c r="I40" i="7"/>
  <c r="H40" i="7" s="1"/>
  <c r="I39" i="7"/>
  <c r="H39" i="7" s="1"/>
  <c r="W152" i="4" l="1"/>
  <c r="W151" i="4"/>
  <c r="W145" i="4"/>
  <c r="W144" i="4"/>
  <c r="W140" i="4"/>
  <c r="Q140" i="4" s="1"/>
  <c r="T140" i="4"/>
  <c r="W139" i="4"/>
  <c r="Q139" i="4" s="1"/>
  <c r="T139" i="4"/>
  <c r="W135" i="4"/>
  <c r="Q135" i="4" s="1"/>
  <c r="W134" i="4"/>
  <c r="Q134" i="4" s="1"/>
  <c r="T135" i="4"/>
  <c r="T134" i="4"/>
  <c r="W126" i="4"/>
  <c r="W125" i="4"/>
  <c r="W121" i="4"/>
  <c r="Q121" i="4" s="1"/>
  <c r="W120" i="4"/>
  <c r="Q120" i="4" s="1"/>
  <c r="T121" i="4"/>
  <c r="T122" i="4" s="1"/>
  <c r="T120" i="4"/>
  <c r="W116" i="4"/>
  <c r="Q116" i="4" s="1"/>
  <c r="W115" i="4"/>
  <c r="Q115" i="4" s="1"/>
  <c r="T116" i="4"/>
  <c r="T115" i="4"/>
  <c r="W107" i="4"/>
  <c r="W106" i="4"/>
  <c r="W102" i="4"/>
  <c r="Q102" i="4" s="1"/>
  <c r="W101" i="4"/>
  <c r="Q101" i="4" s="1"/>
  <c r="W99" i="4"/>
  <c r="W100" i="4"/>
  <c r="T102" i="4"/>
  <c r="T101" i="4"/>
  <c r="W93" i="4"/>
  <c r="W92" i="4"/>
  <c r="W88" i="4"/>
  <c r="W87" i="4"/>
  <c r="W71" i="4"/>
  <c r="W70" i="4"/>
  <c r="W73" i="4"/>
  <c r="W72" i="4"/>
  <c r="W66" i="4"/>
  <c r="Q66" i="4" s="1"/>
  <c r="T66" i="4"/>
  <c r="W65" i="4"/>
  <c r="Q65" i="4" s="1"/>
  <c r="T65" i="4"/>
  <c r="W62" i="4"/>
  <c r="W61" i="4"/>
  <c r="W64" i="4"/>
  <c r="W63" i="4"/>
  <c r="W51" i="4"/>
  <c r="Q51" i="4" s="1"/>
  <c r="W50" i="4"/>
  <c r="Q50" i="4" s="1"/>
  <c r="T51" i="4"/>
  <c r="T50" i="4"/>
  <c r="W47" i="4"/>
  <c r="W46" i="4"/>
  <c r="W49" i="4"/>
  <c r="W48" i="4"/>
  <c r="W41" i="4"/>
  <c r="W40" i="4"/>
  <c r="Q207" i="3"/>
  <c r="S207" i="3" s="1"/>
  <c r="R203" i="3"/>
  <c r="R207" i="3" s="1"/>
  <c r="T207" i="3" s="1"/>
  <c r="Q203" i="3"/>
  <c r="R196" i="3"/>
  <c r="Q196" i="3"/>
  <c r="M193" i="3"/>
  <c r="R192" i="3"/>
  <c r="Q192" i="3"/>
  <c r="M187" i="3"/>
  <c r="R187" i="3" s="1"/>
  <c r="Q187" i="3"/>
  <c r="R186" i="3"/>
  <c r="R189" i="3" s="1"/>
  <c r="Q186" i="3"/>
  <c r="Q189" i="3" s="1"/>
  <c r="R181" i="3"/>
  <c r="Q181" i="3"/>
  <c r="V122" i="4" l="1"/>
  <c r="X16" i="23"/>
  <c r="AD15" i="23"/>
  <c r="S189" i="3"/>
  <c r="AE15" i="23"/>
  <c r="T189" i="3"/>
  <c r="U139" i="4"/>
  <c r="T141" i="4"/>
  <c r="U140" i="4"/>
  <c r="U135" i="4"/>
  <c r="U134" i="4"/>
  <c r="U121" i="4"/>
  <c r="U120" i="4"/>
  <c r="U116" i="4"/>
  <c r="U115" i="4"/>
  <c r="U102" i="4"/>
  <c r="U101" i="4"/>
  <c r="U66" i="4"/>
  <c r="U65" i="4"/>
  <c r="U51" i="4"/>
  <c r="U50" i="4"/>
  <c r="R171" i="3"/>
  <c r="Q171" i="3"/>
  <c r="Q170" i="3"/>
  <c r="M170" i="3"/>
  <c r="R170" i="3" s="1"/>
  <c r="R169" i="3"/>
  <c r="Q169" i="3"/>
  <c r="M163" i="3"/>
  <c r="R163" i="3" s="1"/>
  <c r="R162" i="3"/>
  <c r="Q162" i="3"/>
  <c r="Q165" i="3" s="1"/>
  <c r="Q163" i="3"/>
  <c r="AD16" i="23" l="1"/>
  <c r="V141" i="4"/>
  <c r="AD108" i="23" s="1"/>
  <c r="X15" i="23"/>
  <c r="S165" i="3"/>
  <c r="X108" i="23" s="1"/>
  <c r="U141" i="4"/>
  <c r="U122" i="4"/>
  <c r="R165" i="3"/>
  <c r="R157" i="3"/>
  <c r="Q157" i="3"/>
  <c r="R150" i="3"/>
  <c r="Q150" i="3"/>
  <c r="R149" i="3"/>
  <c r="Q149" i="3"/>
  <c r="R143" i="3"/>
  <c r="Q143" i="3"/>
  <c r="R137" i="3"/>
  <c r="Q137" i="3"/>
  <c r="R129" i="3"/>
  <c r="Q129" i="3"/>
  <c r="R126" i="3"/>
  <c r="Q126" i="3"/>
  <c r="M125" i="3"/>
  <c r="R125" i="3" s="1"/>
  <c r="Q125" i="3"/>
  <c r="R124" i="3"/>
  <c r="Q124" i="3"/>
  <c r="AE16" i="23" l="1"/>
  <c r="W141" i="4"/>
  <c r="AE108" i="23" s="1"/>
  <c r="W122" i="4"/>
  <c r="Y16" i="23"/>
  <c r="Y15" i="23"/>
  <c r="T165" i="3"/>
  <c r="M117" i="3"/>
  <c r="R116" i="3"/>
  <c r="Q116" i="3"/>
  <c r="R91" i="3"/>
  <c r="Q91" i="3"/>
  <c r="R89" i="3"/>
  <c r="Q89" i="3"/>
  <c r="M88" i="3"/>
  <c r="R88" i="3" s="1"/>
  <c r="Q88" i="3"/>
  <c r="Y108" i="23" l="1"/>
  <c r="R87" i="3"/>
  <c r="Q87" i="3"/>
  <c r="R65" i="3"/>
  <c r="Q65" i="3"/>
  <c r="R64" i="3" l="1"/>
  <c r="Q64" i="3"/>
  <c r="R63" i="3"/>
  <c r="Q63" i="3"/>
  <c r="Q62" i="3"/>
  <c r="M62" i="3"/>
  <c r="R62" i="3" s="1"/>
  <c r="R61" i="3"/>
  <c r="Q61" i="3"/>
  <c r="R46" i="3" l="1"/>
  <c r="Q46" i="3"/>
  <c r="M45" i="3"/>
  <c r="R44" i="3"/>
  <c r="Q44" i="3"/>
  <c r="Q46" i="5"/>
  <c r="R32" i="2" l="1"/>
  <c r="S29" i="2"/>
  <c r="V152" i="23" l="1"/>
  <c r="V151" i="23"/>
  <c r="V160" i="23"/>
  <c r="V159" i="23"/>
  <c r="AI162" i="23"/>
  <c r="AH162" i="23"/>
  <c r="AG162" i="23"/>
  <c r="AF162" i="23"/>
  <c r="AA162" i="23"/>
  <c r="Z162" i="23"/>
  <c r="U162" i="23"/>
  <c r="T162" i="23"/>
  <c r="Q162" i="23"/>
  <c r="P162" i="23"/>
  <c r="M162" i="23"/>
  <c r="L162" i="23"/>
  <c r="K162" i="23"/>
  <c r="J162" i="23"/>
  <c r="M161" i="23"/>
  <c r="L161" i="23"/>
  <c r="M164" i="23" l="1"/>
  <c r="L164" i="23"/>
  <c r="M165" i="23"/>
  <c r="L165" i="23"/>
  <c r="M155" i="23"/>
  <c r="L155" i="23"/>
  <c r="M154" i="23"/>
  <c r="L154" i="23"/>
  <c r="M153" i="23"/>
  <c r="L153" i="23"/>
  <c r="M158" i="23"/>
  <c r="L158" i="23"/>
  <c r="M156" i="23"/>
  <c r="L156" i="23"/>
  <c r="N202" i="25"/>
  <c r="AC98" i="23" s="1"/>
  <c r="N66" i="25"/>
  <c r="K98" i="23" s="1"/>
  <c r="E106" i="23"/>
  <c r="D106" i="23"/>
  <c r="E105" i="23"/>
  <c r="D105" i="23"/>
  <c r="E104" i="23"/>
  <c r="D104" i="23"/>
  <c r="E103" i="23"/>
  <c r="D103" i="23"/>
  <c r="E102" i="23"/>
  <c r="D102" i="23"/>
  <c r="E101" i="23"/>
  <c r="D101" i="23"/>
  <c r="E100" i="23"/>
  <c r="D100" i="23"/>
  <c r="E99" i="23"/>
  <c r="D99" i="23"/>
  <c r="E98" i="23"/>
  <c r="D98" i="23"/>
  <c r="E97" i="23"/>
  <c r="D97" i="23"/>
  <c r="E96" i="23"/>
  <c r="D96" i="23"/>
  <c r="E95" i="23"/>
  <c r="D95" i="23"/>
  <c r="E94" i="23"/>
  <c r="D94" i="23"/>
  <c r="E93" i="23"/>
  <c r="D93" i="23"/>
  <c r="E92" i="23"/>
  <c r="D92" i="23"/>
  <c r="E91" i="23"/>
  <c r="D91" i="23"/>
  <c r="N32" i="25"/>
  <c r="G98" i="23" s="1"/>
  <c r="N227" i="25"/>
  <c r="AE106" i="23" s="1"/>
  <c r="M227" i="25"/>
  <c r="AD106" i="23" s="1"/>
  <c r="N226" i="25"/>
  <c r="AE105" i="23" s="1"/>
  <c r="M226" i="25"/>
  <c r="AD105" i="23" s="1"/>
  <c r="N225" i="25"/>
  <c r="AE104" i="23" s="1"/>
  <c r="M225" i="25"/>
  <c r="AD104" i="23" s="1"/>
  <c r="N224" i="25"/>
  <c r="AE103" i="23" s="1"/>
  <c r="M224" i="25"/>
  <c r="AD103" i="23" s="1"/>
  <c r="N223" i="25"/>
  <c r="AE102" i="23" s="1"/>
  <c r="M223" i="25"/>
  <c r="AD102" i="23" s="1"/>
  <c r="N222" i="25"/>
  <c r="AE101" i="23" s="1"/>
  <c r="M222" i="25"/>
  <c r="AD101" i="23" s="1"/>
  <c r="N221" i="25"/>
  <c r="AE100" i="23" s="1"/>
  <c r="M221" i="25"/>
  <c r="AD100" i="23" s="1"/>
  <c r="N220" i="25"/>
  <c r="AE99" i="23" s="1"/>
  <c r="M220" i="25"/>
  <c r="AD99" i="23" s="1"/>
  <c r="N219" i="25"/>
  <c r="AE98" i="23" s="1"/>
  <c r="M219" i="25"/>
  <c r="AD98" i="23" s="1"/>
  <c r="N218" i="25"/>
  <c r="AE97" i="23" s="1"/>
  <c r="AE126" i="23" s="1"/>
  <c r="M218" i="25"/>
  <c r="AD97" i="23" s="1"/>
  <c r="AD126" i="23" s="1"/>
  <c r="N217" i="25"/>
  <c r="AE96" i="23" s="1"/>
  <c r="AE119" i="23" s="1"/>
  <c r="M217" i="25"/>
  <c r="AD96" i="23" s="1"/>
  <c r="AD119" i="23" s="1"/>
  <c r="N216" i="25"/>
  <c r="AE95" i="23" s="1"/>
  <c r="AE118" i="23" s="1"/>
  <c r="M216" i="25"/>
  <c r="AD95" i="23" s="1"/>
  <c r="AD118" i="23" s="1"/>
  <c r="N215" i="25"/>
  <c r="AE94" i="23" s="1"/>
  <c r="M215" i="25"/>
  <c r="AD94" i="23" s="1"/>
  <c r="N214" i="25"/>
  <c r="AE93" i="23" s="1"/>
  <c r="AE117" i="23" s="1"/>
  <c r="M214" i="25"/>
  <c r="AD93" i="23" s="1"/>
  <c r="AD117" i="23" s="1"/>
  <c r="N213" i="25"/>
  <c r="AE92" i="23" s="1"/>
  <c r="AE116" i="23" s="1"/>
  <c r="M213" i="25"/>
  <c r="AD92" i="23" s="1"/>
  <c r="AD116" i="23" s="1"/>
  <c r="N212" i="25"/>
  <c r="AE91" i="23" s="1"/>
  <c r="M212" i="25"/>
  <c r="AD91" i="23" s="1"/>
  <c r="N253" i="25"/>
  <c r="AI106" i="23" s="1"/>
  <c r="M253" i="25"/>
  <c r="AH106" i="23" s="1"/>
  <c r="N252" i="25"/>
  <c r="AI105" i="23" s="1"/>
  <c r="AI126" i="23" s="1"/>
  <c r="M252" i="25"/>
  <c r="AH105" i="23" s="1"/>
  <c r="AH126" i="23" s="1"/>
  <c r="N251" i="25"/>
  <c r="AI104" i="23" s="1"/>
  <c r="AI119" i="23" s="1"/>
  <c r="M251" i="25"/>
  <c r="AH104" i="23" s="1"/>
  <c r="AH119" i="23" s="1"/>
  <c r="N250" i="25"/>
  <c r="AI103" i="23" s="1"/>
  <c r="AI118" i="23" s="1"/>
  <c r="M250" i="25"/>
  <c r="AH103" i="23" s="1"/>
  <c r="AH118" i="23" s="1"/>
  <c r="N249" i="25"/>
  <c r="AI102" i="23" s="1"/>
  <c r="M249" i="25"/>
  <c r="AH102" i="23" s="1"/>
  <c r="N248" i="25"/>
  <c r="AI101" i="23" s="1"/>
  <c r="AI117" i="23" s="1"/>
  <c r="M248" i="25"/>
  <c r="AH101" i="23" s="1"/>
  <c r="AH117" i="23" s="1"/>
  <c r="N247" i="25"/>
  <c r="AI100" i="23" s="1"/>
  <c r="AI116" i="23" s="1"/>
  <c r="M247" i="25"/>
  <c r="AH100" i="23" s="1"/>
  <c r="AH116" i="23" s="1"/>
  <c r="N246" i="25"/>
  <c r="AI99" i="23" s="1"/>
  <c r="AI121" i="23" s="1"/>
  <c r="M246" i="25"/>
  <c r="AH99" i="23" s="1"/>
  <c r="AH121" i="23" s="1"/>
  <c r="N244" i="25"/>
  <c r="AG106" i="23" s="1"/>
  <c r="M244" i="25"/>
  <c r="AF106" i="23" s="1"/>
  <c r="N243" i="25"/>
  <c r="AG105" i="23" s="1"/>
  <c r="M243" i="25"/>
  <c r="AF105" i="23" s="1"/>
  <c r="N242" i="25"/>
  <c r="AG104" i="23" s="1"/>
  <c r="M242" i="25"/>
  <c r="AF104" i="23" s="1"/>
  <c r="N241" i="25"/>
  <c r="AG103" i="23" s="1"/>
  <c r="M241" i="25"/>
  <c r="AF103" i="23" s="1"/>
  <c r="N240" i="25"/>
  <c r="AG102" i="23" s="1"/>
  <c r="M240" i="25"/>
  <c r="AF102" i="23" s="1"/>
  <c r="N239" i="25"/>
  <c r="AG101" i="23" s="1"/>
  <c r="M239" i="25"/>
  <c r="AF101" i="23" s="1"/>
  <c r="N238" i="25"/>
  <c r="AG100" i="23" s="1"/>
  <c r="M238" i="25"/>
  <c r="AF100" i="23" s="1"/>
  <c r="N237" i="25"/>
  <c r="AG99" i="23" s="1"/>
  <c r="M237" i="25"/>
  <c r="AF99" i="23" s="1"/>
  <c r="N236" i="25"/>
  <c r="AG98" i="23" s="1"/>
  <c r="M236" i="25"/>
  <c r="AF98" i="23" s="1"/>
  <c r="N235" i="25"/>
  <c r="AG97" i="23" s="1"/>
  <c r="AG126" i="23" s="1"/>
  <c r="M235" i="25"/>
  <c r="AF97" i="23" s="1"/>
  <c r="AF126" i="23" s="1"/>
  <c r="N234" i="25"/>
  <c r="AG96" i="23" s="1"/>
  <c r="AG119" i="23" s="1"/>
  <c r="M234" i="25"/>
  <c r="AF96" i="23" s="1"/>
  <c r="AF119" i="23" s="1"/>
  <c r="N233" i="25"/>
  <c r="AG95" i="23" s="1"/>
  <c r="AG118" i="23" s="1"/>
  <c r="M233" i="25"/>
  <c r="AF95" i="23" s="1"/>
  <c r="AF118" i="23" s="1"/>
  <c r="N232" i="25"/>
  <c r="AG94" i="23" s="1"/>
  <c r="M232" i="25"/>
  <c r="AF94" i="23" s="1"/>
  <c r="N231" i="25"/>
  <c r="AG93" i="23" s="1"/>
  <c r="AG117" i="23" s="1"/>
  <c r="M231" i="25"/>
  <c r="AF93" i="23" s="1"/>
  <c r="AF117" i="23" s="1"/>
  <c r="N230" i="25"/>
  <c r="AG92" i="23" s="1"/>
  <c r="AG116" i="23" s="1"/>
  <c r="M230" i="25"/>
  <c r="AF92" i="23" s="1"/>
  <c r="AF116" i="23" s="1"/>
  <c r="N229" i="25"/>
  <c r="AG91" i="23" s="1"/>
  <c r="AG121" i="23" s="1"/>
  <c r="M229" i="25"/>
  <c r="AF91" i="23" s="1"/>
  <c r="AF121" i="23" s="1"/>
  <c r="N210" i="25"/>
  <c r="AC106" i="23" s="1"/>
  <c r="AC124" i="23" s="1"/>
  <c r="M210" i="25"/>
  <c r="AB106" i="23" s="1"/>
  <c r="N209" i="25"/>
  <c r="AC105" i="23" s="1"/>
  <c r="M209" i="25"/>
  <c r="AB105" i="23" s="1"/>
  <c r="N208" i="25"/>
  <c r="AC104" i="23" s="1"/>
  <c r="M208" i="25"/>
  <c r="AB104" i="23" s="1"/>
  <c r="N207" i="25"/>
  <c r="AC103" i="23" s="1"/>
  <c r="M207" i="25"/>
  <c r="AB103" i="23" s="1"/>
  <c r="N206" i="25"/>
  <c r="AC102" i="23" s="1"/>
  <c r="M206" i="25"/>
  <c r="AB102" i="23" s="1"/>
  <c r="N205" i="25"/>
  <c r="AC101" i="23" s="1"/>
  <c r="M205" i="25"/>
  <c r="AB101" i="23" s="1"/>
  <c r="N204" i="25"/>
  <c r="AC100" i="23" s="1"/>
  <c r="M204" i="25"/>
  <c r="AB100" i="23" s="1"/>
  <c r="N203" i="25"/>
  <c r="AC99" i="23" s="1"/>
  <c r="M203" i="25"/>
  <c r="AB99" i="23" s="1"/>
  <c r="M202" i="25"/>
  <c r="AB98" i="23" s="1"/>
  <c r="N201" i="25"/>
  <c r="AC97" i="23" s="1"/>
  <c r="AC126" i="23" s="1"/>
  <c r="M201" i="25"/>
  <c r="AB97" i="23" s="1"/>
  <c r="AB126" i="23" s="1"/>
  <c r="N200" i="25"/>
  <c r="AC96" i="23" s="1"/>
  <c r="M200" i="25"/>
  <c r="AB96" i="23" s="1"/>
  <c r="AB119" i="23" s="1"/>
  <c r="N199" i="25"/>
  <c r="AC95" i="23" s="1"/>
  <c r="AC118" i="23" s="1"/>
  <c r="M199" i="25"/>
  <c r="AB95" i="23" s="1"/>
  <c r="AB118" i="23" s="1"/>
  <c r="N198" i="25"/>
  <c r="AC94" i="23" s="1"/>
  <c r="M198" i="25"/>
  <c r="AB94" i="23" s="1"/>
  <c r="N197" i="25"/>
  <c r="AC93" i="23" s="1"/>
  <c r="AC117" i="23" s="1"/>
  <c r="M197" i="25"/>
  <c r="AB93" i="23" s="1"/>
  <c r="AB117" i="23" s="1"/>
  <c r="N196" i="25"/>
  <c r="AC92" i="23" s="1"/>
  <c r="AC116" i="23" s="1"/>
  <c r="M196" i="25"/>
  <c r="AB92" i="23" s="1"/>
  <c r="AB116" i="23" s="1"/>
  <c r="N195" i="25"/>
  <c r="AC91" i="23" s="1"/>
  <c r="M195" i="25"/>
  <c r="AB91" i="23" s="1"/>
  <c r="N193" i="25"/>
  <c r="AA106" i="23" s="1"/>
  <c r="M193" i="25"/>
  <c r="Z106" i="23" s="1"/>
  <c r="N192" i="25"/>
  <c r="AA105" i="23" s="1"/>
  <c r="M192" i="25"/>
  <c r="Z105" i="23" s="1"/>
  <c r="N191" i="25"/>
  <c r="AA104" i="23" s="1"/>
  <c r="M191" i="25"/>
  <c r="Z104" i="23" s="1"/>
  <c r="N190" i="25"/>
  <c r="AA103" i="23" s="1"/>
  <c r="M190" i="25"/>
  <c r="Z103" i="23" s="1"/>
  <c r="N189" i="25"/>
  <c r="AA102" i="23" s="1"/>
  <c r="M189" i="25"/>
  <c r="Z102" i="23" s="1"/>
  <c r="N188" i="25"/>
  <c r="AA101" i="23" s="1"/>
  <c r="M188" i="25"/>
  <c r="Z101" i="23" s="1"/>
  <c r="N187" i="25"/>
  <c r="AA100" i="23" s="1"/>
  <c r="M187" i="25"/>
  <c r="Z100" i="23" s="1"/>
  <c r="N186" i="25"/>
  <c r="AA99" i="23" s="1"/>
  <c r="M186" i="25"/>
  <c r="Z99" i="23" s="1"/>
  <c r="N185" i="25"/>
  <c r="AA98" i="23" s="1"/>
  <c r="M185" i="25"/>
  <c r="Z98" i="23" s="1"/>
  <c r="N184" i="25"/>
  <c r="AA97" i="23" s="1"/>
  <c r="AA126" i="23" s="1"/>
  <c r="M184" i="25"/>
  <c r="Z97" i="23" s="1"/>
  <c r="Z126" i="23" s="1"/>
  <c r="N183" i="25"/>
  <c r="AA96" i="23" s="1"/>
  <c r="AA119" i="23" s="1"/>
  <c r="M183" i="25"/>
  <c r="Z96" i="23" s="1"/>
  <c r="Z119" i="23" s="1"/>
  <c r="N182" i="25"/>
  <c r="AA95" i="23" s="1"/>
  <c r="AA118" i="23" s="1"/>
  <c r="M182" i="25"/>
  <c r="Z95" i="23" s="1"/>
  <c r="Z118" i="23" s="1"/>
  <c r="N181" i="25"/>
  <c r="AA94" i="23" s="1"/>
  <c r="M181" i="25"/>
  <c r="Z94" i="23" s="1"/>
  <c r="N180" i="25"/>
  <c r="AA93" i="23" s="1"/>
  <c r="AA117" i="23" s="1"/>
  <c r="M180" i="25"/>
  <c r="Z93" i="23" s="1"/>
  <c r="Z117" i="23" s="1"/>
  <c r="N179" i="25"/>
  <c r="AA92" i="23" s="1"/>
  <c r="AA116" i="23" s="1"/>
  <c r="M179" i="25"/>
  <c r="Z92" i="23" s="1"/>
  <c r="Z116" i="23" s="1"/>
  <c r="N178" i="25"/>
  <c r="AA91" i="23" s="1"/>
  <c r="AA121" i="23" s="1"/>
  <c r="M178" i="25"/>
  <c r="Z91" i="23" s="1"/>
  <c r="Z121" i="23" s="1"/>
  <c r="N176" i="25"/>
  <c r="Y106" i="23" s="1"/>
  <c r="M176" i="25"/>
  <c r="X106" i="23" s="1"/>
  <c r="N175" i="25"/>
  <c r="Y105" i="23" s="1"/>
  <c r="M175" i="25"/>
  <c r="X105" i="23" s="1"/>
  <c r="N174" i="25"/>
  <c r="Y104" i="23" s="1"/>
  <c r="M174" i="25"/>
  <c r="X104" i="23" s="1"/>
  <c r="N173" i="25"/>
  <c r="Y103" i="23" s="1"/>
  <c r="M173" i="25"/>
  <c r="X103" i="23" s="1"/>
  <c r="N172" i="25"/>
  <c r="Y102" i="23" s="1"/>
  <c r="M172" i="25"/>
  <c r="X102" i="23" s="1"/>
  <c r="N171" i="25"/>
  <c r="Y101" i="23" s="1"/>
  <c r="M171" i="25"/>
  <c r="X101" i="23" s="1"/>
  <c r="N170" i="25"/>
  <c r="Y100" i="23" s="1"/>
  <c r="M170" i="25"/>
  <c r="X100" i="23" s="1"/>
  <c r="N169" i="25"/>
  <c r="Y99" i="23" s="1"/>
  <c r="M169" i="25"/>
  <c r="X99" i="23" s="1"/>
  <c r="N168" i="25"/>
  <c r="Y98" i="23" s="1"/>
  <c r="M168" i="25"/>
  <c r="X98" i="23" s="1"/>
  <c r="N167" i="25"/>
  <c r="Y97" i="23" s="1"/>
  <c r="Y126" i="23" s="1"/>
  <c r="M167" i="25"/>
  <c r="X97" i="23" s="1"/>
  <c r="X126" i="23" s="1"/>
  <c r="N166" i="25"/>
  <c r="Y96" i="23" s="1"/>
  <c r="Y119" i="23" s="1"/>
  <c r="M166" i="25"/>
  <c r="X96" i="23" s="1"/>
  <c r="X119" i="23" s="1"/>
  <c r="N165" i="25"/>
  <c r="Y95" i="23" s="1"/>
  <c r="Y118" i="23" s="1"/>
  <c r="M165" i="25"/>
  <c r="X95" i="23" s="1"/>
  <c r="X118" i="23" s="1"/>
  <c r="N164" i="25"/>
  <c r="Y94" i="23" s="1"/>
  <c r="M164" i="25"/>
  <c r="X94" i="23" s="1"/>
  <c r="N163" i="25"/>
  <c r="Y93" i="23" s="1"/>
  <c r="Y117" i="23" s="1"/>
  <c r="M163" i="25"/>
  <c r="X93" i="23" s="1"/>
  <c r="X117" i="23" s="1"/>
  <c r="N162" i="25"/>
  <c r="Y92" i="23" s="1"/>
  <c r="Y116" i="23" s="1"/>
  <c r="M162" i="25"/>
  <c r="X92" i="23" s="1"/>
  <c r="X116" i="23" s="1"/>
  <c r="N161" i="25"/>
  <c r="Y91" i="23" s="1"/>
  <c r="M161" i="25"/>
  <c r="X91" i="23" s="1"/>
  <c r="N159" i="25"/>
  <c r="W106" i="23" s="1"/>
  <c r="M159" i="25"/>
  <c r="V106" i="23" s="1"/>
  <c r="N158" i="25"/>
  <c r="W105" i="23" s="1"/>
  <c r="M158" i="25"/>
  <c r="V105" i="23" s="1"/>
  <c r="N157" i="25"/>
  <c r="W104" i="23" s="1"/>
  <c r="M157" i="25"/>
  <c r="V104" i="23" s="1"/>
  <c r="N156" i="25"/>
  <c r="W103" i="23" s="1"/>
  <c r="M156" i="25"/>
  <c r="V103" i="23" s="1"/>
  <c r="N155" i="25"/>
  <c r="W102" i="23" s="1"/>
  <c r="M155" i="25"/>
  <c r="V102" i="23" s="1"/>
  <c r="N154" i="25"/>
  <c r="W101" i="23" s="1"/>
  <c r="M154" i="25"/>
  <c r="V101" i="23" s="1"/>
  <c r="N153" i="25"/>
  <c r="W100" i="23" s="1"/>
  <c r="M153" i="25"/>
  <c r="V100" i="23" s="1"/>
  <c r="N152" i="25"/>
  <c r="W99" i="23" s="1"/>
  <c r="M152" i="25"/>
  <c r="V99" i="23" s="1"/>
  <c r="N151" i="25"/>
  <c r="W98" i="23" s="1"/>
  <c r="M151" i="25"/>
  <c r="V98" i="23" s="1"/>
  <c r="N150" i="25"/>
  <c r="W97" i="23" s="1"/>
  <c r="W126" i="23" s="1"/>
  <c r="M150" i="25"/>
  <c r="V97" i="23" s="1"/>
  <c r="N149" i="25"/>
  <c r="W96" i="23" s="1"/>
  <c r="W119" i="23" s="1"/>
  <c r="M149" i="25"/>
  <c r="V96" i="23" s="1"/>
  <c r="V119" i="23" s="1"/>
  <c r="N148" i="25"/>
  <c r="W95" i="23" s="1"/>
  <c r="W118" i="23" s="1"/>
  <c r="M148" i="25"/>
  <c r="V95" i="23" s="1"/>
  <c r="V118" i="23" s="1"/>
  <c r="N147" i="25"/>
  <c r="W94" i="23" s="1"/>
  <c r="M147" i="25"/>
  <c r="V94" i="23" s="1"/>
  <c r="N146" i="25"/>
  <c r="W93" i="23" s="1"/>
  <c r="W117" i="23" s="1"/>
  <c r="M146" i="25"/>
  <c r="V93" i="23" s="1"/>
  <c r="V117" i="23" s="1"/>
  <c r="N145" i="25"/>
  <c r="W92" i="23" s="1"/>
  <c r="W116" i="23" s="1"/>
  <c r="M145" i="25"/>
  <c r="V92" i="23" s="1"/>
  <c r="V116" i="23" s="1"/>
  <c r="N144" i="25"/>
  <c r="W91" i="23" s="1"/>
  <c r="M144" i="25"/>
  <c r="V91" i="23" s="1"/>
  <c r="N142" i="25"/>
  <c r="U106" i="23" s="1"/>
  <c r="M142" i="25"/>
  <c r="T106" i="23" s="1"/>
  <c r="N141" i="25"/>
  <c r="U105" i="23" s="1"/>
  <c r="M141" i="25"/>
  <c r="T105" i="23" s="1"/>
  <c r="N140" i="25"/>
  <c r="U104" i="23" s="1"/>
  <c r="M140" i="25"/>
  <c r="T104" i="23" s="1"/>
  <c r="N139" i="25"/>
  <c r="U103" i="23" s="1"/>
  <c r="M139" i="25"/>
  <c r="T103" i="23" s="1"/>
  <c r="N138" i="25"/>
  <c r="U102" i="23" s="1"/>
  <c r="M138" i="25"/>
  <c r="T102" i="23" s="1"/>
  <c r="N137" i="25"/>
  <c r="U101" i="23" s="1"/>
  <c r="M137" i="25"/>
  <c r="T101" i="23" s="1"/>
  <c r="N136" i="25"/>
  <c r="U100" i="23" s="1"/>
  <c r="M136" i="25"/>
  <c r="T100" i="23" s="1"/>
  <c r="N135" i="25"/>
  <c r="U99" i="23" s="1"/>
  <c r="M135" i="25"/>
  <c r="T99" i="23" s="1"/>
  <c r="N134" i="25"/>
  <c r="U98" i="23" s="1"/>
  <c r="M134" i="25"/>
  <c r="T98" i="23" s="1"/>
  <c r="N133" i="25"/>
  <c r="U97" i="23" s="1"/>
  <c r="U126" i="23" s="1"/>
  <c r="M133" i="25"/>
  <c r="T97" i="23" s="1"/>
  <c r="T126" i="23" s="1"/>
  <c r="N132" i="25"/>
  <c r="U96" i="23" s="1"/>
  <c r="U119" i="23" s="1"/>
  <c r="M132" i="25"/>
  <c r="T96" i="23" s="1"/>
  <c r="T119" i="23" s="1"/>
  <c r="N131" i="25"/>
  <c r="U95" i="23" s="1"/>
  <c r="U118" i="23" s="1"/>
  <c r="M131" i="25"/>
  <c r="T95" i="23" s="1"/>
  <c r="T118" i="23" s="1"/>
  <c r="N130" i="25"/>
  <c r="U94" i="23" s="1"/>
  <c r="M130" i="25"/>
  <c r="T94" i="23" s="1"/>
  <c r="N129" i="25"/>
  <c r="U93" i="23" s="1"/>
  <c r="U117" i="23" s="1"/>
  <c r="M129" i="25"/>
  <c r="T93" i="23" s="1"/>
  <c r="T117" i="23" s="1"/>
  <c r="N128" i="25"/>
  <c r="U92" i="23" s="1"/>
  <c r="U116" i="23" s="1"/>
  <c r="M128" i="25"/>
  <c r="T92" i="23" s="1"/>
  <c r="T116" i="23" s="1"/>
  <c r="N127" i="25"/>
  <c r="U91" i="23" s="1"/>
  <c r="U121" i="23" s="1"/>
  <c r="M127" i="25"/>
  <c r="T91" i="23" s="1"/>
  <c r="T121" i="23" s="1"/>
  <c r="N125" i="25"/>
  <c r="S106" i="23" s="1"/>
  <c r="M125" i="25"/>
  <c r="R106" i="23" s="1"/>
  <c r="N124" i="25"/>
  <c r="S105" i="23" s="1"/>
  <c r="M124" i="25"/>
  <c r="R105" i="23" s="1"/>
  <c r="N123" i="25"/>
  <c r="S104" i="23" s="1"/>
  <c r="M123" i="25"/>
  <c r="R104" i="23" s="1"/>
  <c r="N122" i="25"/>
  <c r="S103" i="23" s="1"/>
  <c r="M122" i="25"/>
  <c r="R103" i="23" s="1"/>
  <c r="N121" i="25"/>
  <c r="S102" i="23" s="1"/>
  <c r="M121" i="25"/>
  <c r="R102" i="23" s="1"/>
  <c r="N120" i="25"/>
  <c r="S101" i="23" s="1"/>
  <c r="M120" i="25"/>
  <c r="R101" i="23" s="1"/>
  <c r="N119" i="25"/>
  <c r="S100" i="23" s="1"/>
  <c r="M119" i="25"/>
  <c r="R100" i="23" s="1"/>
  <c r="N118" i="25"/>
  <c r="S99" i="23" s="1"/>
  <c r="M118" i="25"/>
  <c r="R99" i="23" s="1"/>
  <c r="N117" i="25"/>
  <c r="S98" i="23" s="1"/>
  <c r="M117" i="25"/>
  <c r="R98" i="23" s="1"/>
  <c r="N116" i="25"/>
  <c r="S97" i="23" s="1"/>
  <c r="S126" i="23" s="1"/>
  <c r="M116" i="25"/>
  <c r="R97" i="23" s="1"/>
  <c r="R126" i="23" s="1"/>
  <c r="N115" i="25"/>
  <c r="S96" i="23" s="1"/>
  <c r="S119" i="23" s="1"/>
  <c r="M115" i="25"/>
  <c r="R96" i="23" s="1"/>
  <c r="R119" i="23" s="1"/>
  <c r="N114" i="25"/>
  <c r="S95" i="23" s="1"/>
  <c r="S118" i="23" s="1"/>
  <c r="M114" i="25"/>
  <c r="R95" i="23" s="1"/>
  <c r="R118" i="23" s="1"/>
  <c r="N113" i="25"/>
  <c r="S94" i="23" s="1"/>
  <c r="M113" i="25"/>
  <c r="R94" i="23" s="1"/>
  <c r="N112" i="25"/>
  <c r="S93" i="23" s="1"/>
  <c r="S117" i="23" s="1"/>
  <c r="M112" i="25"/>
  <c r="R93" i="23" s="1"/>
  <c r="R117" i="23" s="1"/>
  <c r="N111" i="25"/>
  <c r="S92" i="23" s="1"/>
  <c r="S116" i="23" s="1"/>
  <c r="M111" i="25"/>
  <c r="R92" i="23" s="1"/>
  <c r="R116" i="23" s="1"/>
  <c r="N110" i="25"/>
  <c r="S91" i="23" s="1"/>
  <c r="M110" i="25"/>
  <c r="R91" i="23" s="1"/>
  <c r="N108" i="25"/>
  <c r="Q106" i="23" s="1"/>
  <c r="M108" i="25"/>
  <c r="P106" i="23" s="1"/>
  <c r="N107" i="25"/>
  <c r="Q105" i="23" s="1"/>
  <c r="M107" i="25"/>
  <c r="P105" i="23" s="1"/>
  <c r="N106" i="25"/>
  <c r="Q104" i="23" s="1"/>
  <c r="M106" i="25"/>
  <c r="P104" i="23" s="1"/>
  <c r="N105" i="25"/>
  <c r="Q103" i="23" s="1"/>
  <c r="M105" i="25"/>
  <c r="P103" i="23" s="1"/>
  <c r="N104" i="25"/>
  <c r="Q102" i="23" s="1"/>
  <c r="M104" i="25"/>
  <c r="P102" i="23" s="1"/>
  <c r="N103" i="25"/>
  <c r="Q101" i="23" s="1"/>
  <c r="M103" i="25"/>
  <c r="P101" i="23" s="1"/>
  <c r="N102" i="25"/>
  <c r="Q100" i="23" s="1"/>
  <c r="M102" i="25"/>
  <c r="P100" i="23" s="1"/>
  <c r="N101" i="25"/>
  <c r="Q99" i="23" s="1"/>
  <c r="M101" i="25"/>
  <c r="P99" i="23" s="1"/>
  <c r="N100" i="25"/>
  <c r="Q98" i="23" s="1"/>
  <c r="M100" i="25"/>
  <c r="P98" i="23" s="1"/>
  <c r="N99" i="25"/>
  <c r="Q97" i="23" s="1"/>
  <c r="Q126" i="23" s="1"/>
  <c r="M99" i="25"/>
  <c r="P97" i="23" s="1"/>
  <c r="P126" i="23" s="1"/>
  <c r="N98" i="25"/>
  <c r="Q96" i="23" s="1"/>
  <c r="Q119" i="23" s="1"/>
  <c r="M98" i="25"/>
  <c r="P96" i="23" s="1"/>
  <c r="P119" i="23" s="1"/>
  <c r="N97" i="25"/>
  <c r="Q95" i="23" s="1"/>
  <c r="Q118" i="23" s="1"/>
  <c r="M97" i="25"/>
  <c r="P95" i="23" s="1"/>
  <c r="P118" i="23" s="1"/>
  <c r="N96" i="25"/>
  <c r="Q94" i="23" s="1"/>
  <c r="M96" i="25"/>
  <c r="P94" i="23" s="1"/>
  <c r="N95" i="25"/>
  <c r="Q93" i="23" s="1"/>
  <c r="Q117" i="23" s="1"/>
  <c r="M95" i="25"/>
  <c r="P93" i="23" s="1"/>
  <c r="P117" i="23" s="1"/>
  <c r="N94" i="25"/>
  <c r="Q92" i="23" s="1"/>
  <c r="Q116" i="23" s="1"/>
  <c r="M94" i="25"/>
  <c r="P92" i="23" s="1"/>
  <c r="P116" i="23" s="1"/>
  <c r="N93" i="25"/>
  <c r="Q91" i="23" s="1"/>
  <c r="Q121" i="23" s="1"/>
  <c r="M93" i="25"/>
  <c r="P91" i="23" s="1"/>
  <c r="P121" i="23" s="1"/>
  <c r="N91" i="25"/>
  <c r="O106" i="23" s="1"/>
  <c r="M91" i="25"/>
  <c r="N106" i="23" s="1"/>
  <c r="N90" i="25"/>
  <c r="O105" i="23" s="1"/>
  <c r="M90" i="25"/>
  <c r="N105" i="23" s="1"/>
  <c r="N89" i="25"/>
  <c r="O104" i="23" s="1"/>
  <c r="M89" i="25"/>
  <c r="N104" i="23" s="1"/>
  <c r="N88" i="25"/>
  <c r="O103" i="23" s="1"/>
  <c r="M88" i="25"/>
  <c r="N103" i="23" s="1"/>
  <c r="N87" i="25"/>
  <c r="O102" i="23" s="1"/>
  <c r="M87" i="25"/>
  <c r="N102" i="23" s="1"/>
  <c r="N86" i="25"/>
  <c r="O101" i="23" s="1"/>
  <c r="M86" i="25"/>
  <c r="N101" i="23" s="1"/>
  <c r="N85" i="25"/>
  <c r="O100" i="23" s="1"/>
  <c r="M85" i="25"/>
  <c r="N100" i="23" s="1"/>
  <c r="N84" i="25"/>
  <c r="O99" i="23" s="1"/>
  <c r="M84" i="25"/>
  <c r="N99" i="23" s="1"/>
  <c r="N83" i="25"/>
  <c r="O98" i="23" s="1"/>
  <c r="M83" i="25"/>
  <c r="N98" i="23" s="1"/>
  <c r="N82" i="25"/>
  <c r="O97" i="23" s="1"/>
  <c r="O126" i="23" s="1"/>
  <c r="M82" i="25"/>
  <c r="N97" i="23" s="1"/>
  <c r="N126" i="23" s="1"/>
  <c r="N81" i="25"/>
  <c r="O96" i="23" s="1"/>
  <c r="O119" i="23" s="1"/>
  <c r="M81" i="25"/>
  <c r="N96" i="23" s="1"/>
  <c r="N119" i="23" s="1"/>
  <c r="N80" i="25"/>
  <c r="O95" i="23" s="1"/>
  <c r="O118" i="23" s="1"/>
  <c r="M80" i="25"/>
  <c r="N95" i="23" s="1"/>
  <c r="N118" i="23" s="1"/>
  <c r="N79" i="25"/>
  <c r="O94" i="23" s="1"/>
  <c r="M79" i="25"/>
  <c r="N94" i="23" s="1"/>
  <c r="N78" i="25"/>
  <c r="O93" i="23" s="1"/>
  <c r="O117" i="23" s="1"/>
  <c r="M78" i="25"/>
  <c r="N93" i="23" s="1"/>
  <c r="N117" i="23" s="1"/>
  <c r="N77" i="25"/>
  <c r="O92" i="23" s="1"/>
  <c r="O116" i="23" s="1"/>
  <c r="M77" i="25"/>
  <c r="N92" i="23" s="1"/>
  <c r="N116" i="23" s="1"/>
  <c r="N76" i="25"/>
  <c r="O91" i="23" s="1"/>
  <c r="M76" i="25"/>
  <c r="N91" i="23" s="1"/>
  <c r="N74" i="25"/>
  <c r="K106" i="23" s="1"/>
  <c r="K124" i="23" s="1"/>
  <c r="M74" i="25"/>
  <c r="J106" i="23" s="1"/>
  <c r="N73" i="25"/>
  <c r="K105" i="23" s="1"/>
  <c r="M73" i="25"/>
  <c r="J105" i="23" s="1"/>
  <c r="N72" i="25"/>
  <c r="K104" i="23" s="1"/>
  <c r="M72" i="25"/>
  <c r="J104" i="23" s="1"/>
  <c r="N71" i="25"/>
  <c r="K103" i="23" s="1"/>
  <c r="M71" i="25"/>
  <c r="J103" i="23" s="1"/>
  <c r="N70" i="25"/>
  <c r="K102" i="23" s="1"/>
  <c r="M70" i="25"/>
  <c r="J102" i="23" s="1"/>
  <c r="N69" i="25"/>
  <c r="K101" i="23" s="1"/>
  <c r="M69" i="25"/>
  <c r="J101" i="23" s="1"/>
  <c r="N68" i="25"/>
  <c r="K100" i="23" s="1"/>
  <c r="M68" i="25"/>
  <c r="J100" i="23" s="1"/>
  <c r="N67" i="25"/>
  <c r="K99" i="23" s="1"/>
  <c r="M67" i="25"/>
  <c r="J99" i="23" s="1"/>
  <c r="M66" i="25"/>
  <c r="J98" i="23" s="1"/>
  <c r="N65" i="25"/>
  <c r="K97" i="23" s="1"/>
  <c r="K126" i="23" s="1"/>
  <c r="M65" i="25"/>
  <c r="J97" i="23" s="1"/>
  <c r="J126" i="23" s="1"/>
  <c r="N64" i="25"/>
  <c r="K96" i="23" s="1"/>
  <c r="M64" i="25"/>
  <c r="J96" i="23" s="1"/>
  <c r="J119" i="23" s="1"/>
  <c r="N63" i="25"/>
  <c r="K95" i="23" s="1"/>
  <c r="K118" i="23" s="1"/>
  <c r="M63" i="25"/>
  <c r="J95" i="23" s="1"/>
  <c r="J118" i="23" s="1"/>
  <c r="N62" i="25"/>
  <c r="K94" i="23" s="1"/>
  <c r="M62" i="25"/>
  <c r="J94" i="23" s="1"/>
  <c r="N61" i="25"/>
  <c r="K93" i="23" s="1"/>
  <c r="K117" i="23" s="1"/>
  <c r="M61" i="25"/>
  <c r="J93" i="23" s="1"/>
  <c r="J117" i="23" s="1"/>
  <c r="N60" i="25"/>
  <c r="K92" i="23" s="1"/>
  <c r="M60" i="25"/>
  <c r="J92" i="23" s="1"/>
  <c r="N59" i="25"/>
  <c r="K91" i="23" s="1"/>
  <c r="M59" i="25"/>
  <c r="J91" i="23" s="1"/>
  <c r="N57" i="25"/>
  <c r="I106" i="23" s="1"/>
  <c r="M57" i="25"/>
  <c r="H106" i="23" s="1"/>
  <c r="N56" i="25"/>
  <c r="I105" i="23" s="1"/>
  <c r="M56" i="25"/>
  <c r="H105" i="23" s="1"/>
  <c r="N55" i="25"/>
  <c r="I104" i="23" s="1"/>
  <c r="M55" i="25"/>
  <c r="H104" i="23" s="1"/>
  <c r="N54" i="25"/>
  <c r="I103" i="23" s="1"/>
  <c r="M54" i="25"/>
  <c r="H103" i="23" s="1"/>
  <c r="N53" i="25"/>
  <c r="I102" i="23" s="1"/>
  <c r="M53" i="25"/>
  <c r="H102" i="23" s="1"/>
  <c r="N52" i="25"/>
  <c r="I101" i="23" s="1"/>
  <c r="M52" i="25"/>
  <c r="H101" i="23" s="1"/>
  <c r="N51" i="25"/>
  <c r="I100" i="23" s="1"/>
  <c r="M51" i="25"/>
  <c r="H100" i="23" s="1"/>
  <c r="N50" i="25"/>
  <c r="I99" i="23" s="1"/>
  <c r="M50" i="25"/>
  <c r="H99" i="23" s="1"/>
  <c r="N49" i="25"/>
  <c r="I98" i="23" s="1"/>
  <c r="M49" i="25"/>
  <c r="H98" i="23" s="1"/>
  <c r="N48" i="25"/>
  <c r="I97" i="23" s="1"/>
  <c r="I126" i="23" s="1"/>
  <c r="M48" i="25"/>
  <c r="H97" i="23" s="1"/>
  <c r="H126" i="23" s="1"/>
  <c r="N47" i="25"/>
  <c r="I96" i="23" s="1"/>
  <c r="I119" i="23" s="1"/>
  <c r="M47" i="25"/>
  <c r="H96" i="23" s="1"/>
  <c r="H119" i="23" s="1"/>
  <c r="N46" i="25"/>
  <c r="I95" i="23" s="1"/>
  <c r="I118" i="23" s="1"/>
  <c r="M46" i="25"/>
  <c r="H95" i="23" s="1"/>
  <c r="H118" i="23" s="1"/>
  <c r="N45" i="25"/>
  <c r="I94" i="23" s="1"/>
  <c r="M45" i="25"/>
  <c r="H94" i="23" s="1"/>
  <c r="N44" i="25"/>
  <c r="I93" i="23" s="1"/>
  <c r="I117" i="23" s="1"/>
  <c r="M44" i="25"/>
  <c r="H93" i="23" s="1"/>
  <c r="H117" i="23" s="1"/>
  <c r="N43" i="25"/>
  <c r="I92" i="23" s="1"/>
  <c r="M43" i="25"/>
  <c r="H92" i="23" s="1"/>
  <c r="N42" i="25"/>
  <c r="I91" i="23" s="1"/>
  <c r="M42" i="25"/>
  <c r="H91" i="23" s="1"/>
  <c r="N40" i="25"/>
  <c r="G106" i="23" s="1"/>
  <c r="G124" i="23" s="1"/>
  <c r="M40" i="25"/>
  <c r="F106" i="23" s="1"/>
  <c r="N39" i="25"/>
  <c r="G105" i="23" s="1"/>
  <c r="M39" i="25"/>
  <c r="F105" i="23" s="1"/>
  <c r="N38" i="25"/>
  <c r="G104" i="23" s="1"/>
  <c r="M38" i="25"/>
  <c r="F104" i="23" s="1"/>
  <c r="N37" i="25"/>
  <c r="G103" i="23" s="1"/>
  <c r="M37" i="25"/>
  <c r="F103" i="23" s="1"/>
  <c r="N36" i="25"/>
  <c r="G102" i="23" s="1"/>
  <c r="M36" i="25"/>
  <c r="F102" i="23" s="1"/>
  <c r="N35" i="25"/>
  <c r="G101" i="23" s="1"/>
  <c r="M35" i="25"/>
  <c r="F101" i="23" s="1"/>
  <c r="N34" i="25"/>
  <c r="G100" i="23" s="1"/>
  <c r="M34" i="25"/>
  <c r="F100" i="23" s="1"/>
  <c r="N33" i="25"/>
  <c r="G99" i="23" s="1"/>
  <c r="M33" i="25"/>
  <c r="M32" i="25"/>
  <c r="F98" i="23" s="1"/>
  <c r="N31" i="25"/>
  <c r="G97" i="23" s="1"/>
  <c r="M31" i="25"/>
  <c r="F97" i="23" s="1"/>
  <c r="N30" i="25"/>
  <c r="G96" i="23" s="1"/>
  <c r="G119" i="23" s="1"/>
  <c r="M30" i="25"/>
  <c r="F96" i="23" s="1"/>
  <c r="N29" i="25"/>
  <c r="G95" i="23" s="1"/>
  <c r="M29" i="25"/>
  <c r="F95" i="23" s="1"/>
  <c r="N28" i="25"/>
  <c r="G94" i="23" s="1"/>
  <c r="M28" i="25"/>
  <c r="F94" i="23" s="1"/>
  <c r="N27" i="25"/>
  <c r="G93" i="23" s="1"/>
  <c r="M27" i="25"/>
  <c r="F93" i="23" s="1"/>
  <c r="N26" i="25"/>
  <c r="G92" i="23" s="1"/>
  <c r="M26" i="25"/>
  <c r="F92" i="23" s="1"/>
  <c r="N25" i="25"/>
  <c r="G91" i="23" s="1"/>
  <c r="M25" i="25"/>
  <c r="F91" i="23" s="1"/>
  <c r="G126" i="23" l="1"/>
  <c r="I124" i="23"/>
  <c r="K119" i="23"/>
  <c r="V163" i="23"/>
  <c r="V126" i="23"/>
  <c r="G117" i="23"/>
  <c r="AB124" i="23"/>
  <c r="AF124" i="23"/>
  <c r="AH124" i="23"/>
  <c r="AH161" i="23" s="1"/>
  <c r="AD124" i="23"/>
  <c r="J124" i="23"/>
  <c r="N124" i="23"/>
  <c r="P124" i="23"/>
  <c r="R124" i="23"/>
  <c r="T124" i="23"/>
  <c r="V124" i="23"/>
  <c r="X124" i="23"/>
  <c r="Z124" i="23"/>
  <c r="AG124" i="23"/>
  <c r="AI124" i="23"/>
  <c r="AI161" i="23" s="1"/>
  <c r="AE124" i="23"/>
  <c r="G118" i="23"/>
  <c r="H124" i="23"/>
  <c r="O124" i="23"/>
  <c r="Q124" i="23"/>
  <c r="S124" i="23"/>
  <c r="U124" i="23"/>
  <c r="W124" i="23"/>
  <c r="Y124" i="23"/>
  <c r="AA124" i="23"/>
  <c r="AC119" i="23"/>
  <c r="AC161" i="23"/>
  <c r="K161" i="23"/>
  <c r="F118" i="23"/>
  <c r="F126" i="23"/>
  <c r="F163" i="23" s="1"/>
  <c r="O40" i="25"/>
  <c r="F99" i="23"/>
  <c r="P161" i="23"/>
  <c r="F124" i="23"/>
  <c r="F161" i="23" s="1"/>
  <c r="Q161" i="23"/>
  <c r="Y161" i="23"/>
  <c r="AG161" i="23"/>
  <c r="X161" i="23"/>
  <c r="AF161" i="23"/>
  <c r="G161" i="23"/>
  <c r="H161" i="23"/>
  <c r="N161" i="23"/>
  <c r="R161" i="23"/>
  <c r="T161" i="23"/>
  <c r="V161" i="23"/>
  <c r="Z161" i="23"/>
  <c r="AD161" i="23"/>
  <c r="I161" i="23"/>
  <c r="J161" i="23"/>
  <c r="O161" i="23"/>
  <c r="S161" i="23"/>
  <c r="U161" i="23"/>
  <c r="W161" i="23"/>
  <c r="AA161" i="23"/>
  <c r="AB161" i="23"/>
  <c r="AE161" i="23"/>
  <c r="F119" i="23"/>
  <c r="F117" i="23"/>
  <c r="P227" i="25"/>
  <c r="O125" i="25"/>
  <c r="O219" i="25"/>
  <c r="P219" i="25"/>
  <c r="O49" i="25"/>
  <c r="O66" i="25"/>
  <c r="O83" i="25"/>
  <c r="O100" i="25"/>
  <c r="O117" i="25"/>
  <c r="O126" i="25" s="1"/>
  <c r="O134" i="25"/>
  <c r="O151" i="25"/>
  <c r="O168" i="25"/>
  <c r="O185" i="25"/>
  <c r="O202" i="25"/>
  <c r="O236" i="25"/>
  <c r="O227" i="25"/>
  <c r="O253" i="25"/>
  <c r="O254" i="25" s="1"/>
  <c r="P244" i="25"/>
  <c r="P253" i="25"/>
  <c r="P254" i="25" s="1"/>
  <c r="O244" i="25"/>
  <c r="P236" i="25"/>
  <c r="P245" i="25" s="1"/>
  <c r="O210" i="25"/>
  <c r="P210" i="25"/>
  <c r="P202" i="25"/>
  <c r="O193" i="25"/>
  <c r="P176" i="25"/>
  <c r="P193" i="25"/>
  <c r="P185" i="25"/>
  <c r="O176" i="25"/>
  <c r="P168" i="25"/>
  <c r="P177" i="25" s="1"/>
  <c r="P151" i="25"/>
  <c r="O159" i="25"/>
  <c r="P159" i="25"/>
  <c r="P134" i="25"/>
  <c r="O142" i="25"/>
  <c r="P142" i="25"/>
  <c r="O108" i="25"/>
  <c r="P125" i="25"/>
  <c r="P117" i="25"/>
  <c r="P57" i="25"/>
  <c r="P74" i="25"/>
  <c r="P91" i="25"/>
  <c r="P108" i="25"/>
  <c r="P100" i="25"/>
  <c r="O91" i="25"/>
  <c r="P83" i="25"/>
  <c r="P92" i="25" s="1"/>
  <c r="O74" i="25"/>
  <c r="P66" i="25"/>
  <c r="O57" i="25"/>
  <c r="P49" i="25"/>
  <c r="P40" i="25"/>
  <c r="P32" i="25"/>
  <c r="O32" i="25"/>
  <c r="O41" i="25" s="1"/>
  <c r="P194" i="25" l="1"/>
  <c r="P211" i="25"/>
  <c r="P228" i="25"/>
  <c r="P126" i="25"/>
  <c r="P160" i="25"/>
  <c r="O245" i="25"/>
  <c r="O228" i="25"/>
  <c r="O194" i="25"/>
  <c r="O211" i="25"/>
  <c r="O160" i="25"/>
  <c r="O92" i="25"/>
  <c r="P58" i="25"/>
  <c r="P143" i="25"/>
  <c r="O143" i="25"/>
  <c r="O75" i="25"/>
  <c r="O58" i="25"/>
  <c r="P41" i="25"/>
  <c r="P75" i="25"/>
  <c r="P109" i="25"/>
  <c r="O177" i="25"/>
  <c r="O109" i="25"/>
  <c r="E77" i="23" l="1"/>
  <c r="D77" i="23"/>
  <c r="E76" i="23"/>
  <c r="D76" i="23"/>
  <c r="AI160" i="23"/>
  <c r="AH160" i="23"/>
  <c r="AI159" i="23"/>
  <c r="AH159" i="23"/>
  <c r="AI152" i="23"/>
  <c r="AH152" i="23"/>
  <c r="AI151" i="23"/>
  <c r="AH151" i="23"/>
  <c r="AG160" i="23"/>
  <c r="AF160" i="23"/>
  <c r="AG159" i="23"/>
  <c r="AF159" i="23"/>
  <c r="AG152" i="23"/>
  <c r="AF152" i="23"/>
  <c r="AG151" i="23"/>
  <c r="AF151" i="23"/>
  <c r="AE160" i="23"/>
  <c r="AD160" i="23"/>
  <c r="AE159" i="23"/>
  <c r="AD159" i="23"/>
  <c r="AE152" i="23"/>
  <c r="AD152" i="23"/>
  <c r="AE151" i="23"/>
  <c r="AD151" i="23"/>
  <c r="AC160" i="23"/>
  <c r="AB160" i="23"/>
  <c r="AC159" i="23"/>
  <c r="AB159" i="23"/>
  <c r="AC152" i="23"/>
  <c r="AB152" i="23"/>
  <c r="AC151" i="23"/>
  <c r="AB151" i="23"/>
  <c r="AA160" i="23"/>
  <c r="Z160" i="23"/>
  <c r="AA159" i="23"/>
  <c r="Z159" i="23"/>
  <c r="AA152" i="23"/>
  <c r="Z152" i="23"/>
  <c r="AA151" i="23"/>
  <c r="Z151" i="23"/>
  <c r="Y160" i="23"/>
  <c r="X160" i="23"/>
  <c r="Y159" i="23"/>
  <c r="X159" i="23"/>
  <c r="Y152" i="23"/>
  <c r="X152" i="23"/>
  <c r="Y151" i="23"/>
  <c r="X151" i="23"/>
  <c r="W160" i="23"/>
  <c r="W159" i="23"/>
  <c r="W152" i="23"/>
  <c r="W151" i="23"/>
  <c r="U160" i="23"/>
  <c r="T160" i="23"/>
  <c r="U159" i="23"/>
  <c r="T159" i="23"/>
  <c r="U152" i="23"/>
  <c r="T152" i="23"/>
  <c r="U151" i="23"/>
  <c r="T151" i="23"/>
  <c r="S160" i="23"/>
  <c r="R160" i="23"/>
  <c r="S159" i="23"/>
  <c r="R159" i="23"/>
  <c r="S152" i="23"/>
  <c r="R152" i="23"/>
  <c r="S151" i="23"/>
  <c r="R151" i="23"/>
  <c r="Q160" i="23"/>
  <c r="P160" i="23"/>
  <c r="Q159" i="23"/>
  <c r="P159" i="23"/>
  <c r="Q152" i="23"/>
  <c r="P152" i="23"/>
  <c r="Q151" i="23"/>
  <c r="P151" i="23"/>
  <c r="O160" i="23"/>
  <c r="N160" i="23"/>
  <c r="O159" i="23"/>
  <c r="N159" i="23"/>
  <c r="O152" i="23"/>
  <c r="N152" i="23"/>
  <c r="O151" i="23"/>
  <c r="N151" i="23"/>
  <c r="M163" i="23"/>
  <c r="L163" i="23"/>
  <c r="M160" i="23"/>
  <c r="L160" i="23"/>
  <c r="M159" i="23"/>
  <c r="L159" i="23"/>
  <c r="M157" i="23"/>
  <c r="L157" i="23"/>
  <c r="M152" i="23"/>
  <c r="L152" i="23"/>
  <c r="M151" i="23"/>
  <c r="L151" i="23"/>
  <c r="D82" i="23"/>
  <c r="E82" i="23"/>
  <c r="E80" i="23"/>
  <c r="D80" i="23"/>
  <c r="E81" i="23"/>
  <c r="D81" i="23"/>
  <c r="E79" i="23"/>
  <c r="D79" i="23"/>
  <c r="Q39" i="1"/>
  <c r="E54" i="23"/>
  <c r="D54" i="23"/>
  <c r="E87" i="23"/>
  <c r="D87" i="23"/>
  <c r="E86" i="23"/>
  <c r="D86" i="23"/>
  <c r="E24" i="23"/>
  <c r="D24" i="23"/>
  <c r="E14" i="23"/>
  <c r="D14" i="23"/>
  <c r="E85" i="23"/>
  <c r="D85" i="23"/>
  <c r="E84" i="23"/>
  <c r="D84" i="23"/>
  <c r="E83" i="23"/>
  <c r="D83" i="23"/>
  <c r="E78" i="23"/>
  <c r="D78" i="23"/>
  <c r="E74" i="23"/>
  <c r="D74" i="23"/>
  <c r="Q84" i="5" l="1"/>
  <c r="O83" i="5"/>
  <c r="O82" i="5"/>
  <c r="Q77" i="5"/>
  <c r="O76" i="5"/>
  <c r="O75" i="5"/>
  <c r="O69" i="5"/>
  <c r="O68" i="5"/>
  <c r="Q63" i="5"/>
  <c r="O62" i="5"/>
  <c r="O61" i="5"/>
  <c r="Q59" i="5"/>
  <c r="Q56" i="5"/>
  <c r="O55" i="5" l="1"/>
  <c r="O54" i="5"/>
  <c r="Q51" i="5"/>
  <c r="O50" i="5"/>
  <c r="O49" i="5"/>
  <c r="O45" i="5" l="1"/>
  <c r="O44" i="5"/>
  <c r="X89" i="11" l="1"/>
  <c r="Y11" i="11"/>
  <c r="X11" i="11"/>
  <c r="Y156" i="11"/>
  <c r="X156" i="11"/>
  <c r="X155" i="11"/>
  <c r="Y155" i="11" s="1"/>
  <c r="Y154" i="11"/>
  <c r="X154" i="11"/>
  <c r="Y153" i="11"/>
  <c r="X153" i="11"/>
  <c r="Y143" i="11"/>
  <c r="X143" i="11"/>
  <c r="X142" i="11"/>
  <c r="Y142" i="11" s="1"/>
  <c r="Y141" i="11"/>
  <c r="X141" i="11"/>
  <c r="Y140" i="11"/>
  <c r="X140" i="11"/>
  <c r="Y116" i="11"/>
  <c r="X116" i="11"/>
  <c r="X115" i="11"/>
  <c r="Y115" i="11" s="1"/>
  <c r="Y114" i="11"/>
  <c r="X114" i="11"/>
  <c r="Y113" i="11"/>
  <c r="X113" i="11"/>
  <c r="Y89" i="11"/>
  <c r="X88" i="11"/>
  <c r="Y88" i="11" s="1"/>
  <c r="Y87" i="11"/>
  <c r="X87" i="11"/>
  <c r="Y86" i="11"/>
  <c r="X86" i="11"/>
  <c r="Y69" i="11"/>
  <c r="X69" i="11"/>
  <c r="X68" i="11"/>
  <c r="Y68" i="11" s="1"/>
  <c r="Y67" i="11"/>
  <c r="X67" i="11"/>
  <c r="Y66" i="11"/>
  <c r="X66" i="11"/>
  <c r="Y49" i="11"/>
  <c r="X49" i="11"/>
  <c r="X48" i="11"/>
  <c r="Y48" i="11" s="1"/>
  <c r="Y47" i="11"/>
  <c r="X47" i="11"/>
  <c r="Y46" i="11"/>
  <c r="X46" i="11"/>
  <c r="Y30" i="11"/>
  <c r="X30" i="11"/>
  <c r="X29" i="11"/>
  <c r="Y29" i="11" s="1"/>
  <c r="Y28" i="11"/>
  <c r="X28" i="11"/>
  <c r="Y27" i="11"/>
  <c r="X27" i="11"/>
  <c r="Y17" i="11"/>
  <c r="X17" i="11"/>
  <c r="X16" i="11"/>
  <c r="Y16" i="11" s="1"/>
  <c r="Y15" i="11"/>
  <c r="X15" i="11"/>
  <c r="Y14" i="11"/>
  <c r="X14" i="11"/>
  <c r="Y9" i="11"/>
  <c r="X9" i="11"/>
  <c r="Y31" i="11" l="1"/>
  <c r="X10" i="11"/>
  <c r="Y10" i="11" s="1"/>
  <c r="I84" i="23" l="1"/>
  <c r="Y8" i="11"/>
  <c r="X8" i="11"/>
  <c r="T82" i="4" l="1"/>
  <c r="Q82" i="4"/>
  <c r="R110" i="3"/>
  <c r="Q110" i="3"/>
  <c r="R109" i="3"/>
  <c r="Q109" i="3"/>
  <c r="R108" i="3"/>
  <c r="Q108" i="3"/>
  <c r="R107" i="3"/>
  <c r="Q107" i="3"/>
  <c r="Q80" i="4"/>
  <c r="T80" i="4"/>
  <c r="J80" i="23" s="1"/>
  <c r="R103" i="3"/>
  <c r="Q103" i="3"/>
  <c r="R102" i="3"/>
  <c r="Q102" i="3"/>
  <c r="R101" i="3"/>
  <c r="Q101" i="3"/>
  <c r="Q100" i="3"/>
  <c r="R100" i="3"/>
  <c r="W57" i="4"/>
  <c r="W56" i="4"/>
  <c r="R53" i="3"/>
  <c r="Q53" i="3"/>
  <c r="W55" i="4"/>
  <c r="W54" i="4"/>
  <c r="R41" i="2"/>
  <c r="R40" i="2"/>
  <c r="R38" i="1"/>
  <c r="R37" i="1"/>
  <c r="U82" i="4" l="1"/>
  <c r="K82" i="23" s="1"/>
  <c r="J82" i="23"/>
  <c r="Q112" i="3"/>
  <c r="J81" i="23" s="1"/>
  <c r="R105" i="3"/>
  <c r="R112" i="3"/>
  <c r="Q105" i="3"/>
  <c r="J79" i="23" s="1"/>
  <c r="U80" i="4"/>
  <c r="K80" i="23" s="1"/>
  <c r="K79" i="23" l="1"/>
  <c r="K81" i="23"/>
  <c r="W78" i="4"/>
  <c r="W76" i="4"/>
  <c r="R146" i="3"/>
  <c r="Q146" i="3"/>
  <c r="R131" i="3"/>
  <c r="Q131" i="3"/>
  <c r="Q88" i="4"/>
  <c r="Q87" i="4"/>
  <c r="T88" i="4"/>
  <c r="T87" i="4"/>
  <c r="R118" i="3"/>
  <c r="Q118" i="3"/>
  <c r="U88" i="4" l="1"/>
  <c r="U87" i="4"/>
  <c r="R86" i="3" l="1"/>
  <c r="Q86" i="3"/>
  <c r="R66" i="3" l="1"/>
  <c r="Q66" i="3"/>
  <c r="R60" i="3"/>
  <c r="R68" i="3" s="1"/>
  <c r="I15" i="23" s="1"/>
  <c r="Q60" i="3"/>
  <c r="Q68" i="3" s="1"/>
  <c r="I34" i="7"/>
  <c r="H34" i="7" s="1"/>
  <c r="I33" i="7"/>
  <c r="H33" i="7" s="1"/>
  <c r="I32" i="7"/>
  <c r="I36" i="7" s="1"/>
  <c r="G24" i="23" s="1"/>
  <c r="I31" i="7"/>
  <c r="I35" i="7" s="1"/>
  <c r="Q47" i="4"/>
  <c r="T47" i="4"/>
  <c r="T46" i="4"/>
  <c r="Q49" i="4"/>
  <c r="T49" i="4"/>
  <c r="T48" i="4"/>
  <c r="R47" i="3"/>
  <c r="Q47" i="3"/>
  <c r="Q45" i="3"/>
  <c r="R45" i="3"/>
  <c r="S83" i="3" l="1"/>
  <c r="H15" i="23"/>
  <c r="G23" i="23"/>
  <c r="H31" i="7"/>
  <c r="H35" i="7" s="1"/>
  <c r="H32" i="7"/>
  <c r="H36" i="7" s="1"/>
  <c r="F24" i="23" s="1"/>
  <c r="U49" i="4"/>
  <c r="U47" i="4"/>
  <c r="Q46" i="4"/>
  <c r="Q48" i="4"/>
  <c r="U48" i="4" s="1"/>
  <c r="W39" i="4"/>
  <c r="W38" i="4"/>
  <c r="F23" i="23" l="1"/>
  <c r="U46" i="4"/>
  <c r="R36" i="3" l="1"/>
  <c r="Q36" i="3"/>
  <c r="M35" i="3"/>
  <c r="Q32" i="2"/>
  <c r="R31" i="2"/>
  <c r="S31" i="2" s="1"/>
  <c r="R30" i="2"/>
  <c r="W37" i="4"/>
  <c r="W36" i="4"/>
  <c r="R29" i="2"/>
  <c r="R28" i="2"/>
  <c r="R30" i="1"/>
  <c r="R29" i="1"/>
  <c r="K97" i="6" l="1"/>
  <c r="K92" i="6"/>
  <c r="K94" i="6"/>
  <c r="K93" i="6"/>
  <c r="K89" i="6"/>
  <c r="K86" i="6"/>
  <c r="K85" i="6"/>
  <c r="K84" i="6"/>
  <c r="K81" i="6"/>
  <c r="K78" i="6"/>
  <c r="K77" i="6"/>
  <c r="K76" i="6"/>
  <c r="M143" i="23" l="1"/>
  <c r="L143" i="23"/>
  <c r="J34" i="6"/>
  <c r="K44" i="23"/>
  <c r="K41" i="23"/>
  <c r="K40" i="23"/>
  <c r="K39" i="23"/>
  <c r="K37" i="23"/>
  <c r="K34" i="23"/>
  <c r="K33" i="23"/>
  <c r="K32" i="23"/>
  <c r="K25" i="23"/>
  <c r="K30" i="23"/>
  <c r="K27" i="23"/>
  <c r="K26" i="23"/>
  <c r="E142" i="23"/>
  <c r="D142" i="23"/>
  <c r="E141" i="23"/>
  <c r="D141" i="23"/>
  <c r="E140" i="23"/>
  <c r="D140" i="23"/>
  <c r="E139" i="23"/>
  <c r="D139" i="23"/>
  <c r="E138" i="23"/>
  <c r="D138" i="23"/>
  <c r="E137" i="23"/>
  <c r="D137" i="23"/>
  <c r="E75" i="23"/>
  <c r="D75" i="23"/>
  <c r="E55" i="23"/>
  <c r="D55" i="23"/>
  <c r="E73" i="23"/>
  <c r="D73" i="23"/>
  <c r="E72" i="23"/>
  <c r="D72" i="23"/>
  <c r="E71" i="23"/>
  <c r="D71" i="23"/>
  <c r="E70" i="23"/>
  <c r="D70" i="23"/>
  <c r="E69" i="23"/>
  <c r="D69" i="23"/>
  <c r="E68" i="23"/>
  <c r="D68" i="23"/>
  <c r="E67" i="23"/>
  <c r="D67" i="23"/>
  <c r="E66" i="23"/>
  <c r="D66" i="23"/>
  <c r="E65" i="23"/>
  <c r="D65" i="23"/>
  <c r="E64" i="23"/>
  <c r="D64" i="23"/>
  <c r="E63" i="23"/>
  <c r="D63" i="23"/>
  <c r="E62" i="23"/>
  <c r="D62" i="23"/>
  <c r="E61" i="23"/>
  <c r="D61" i="23"/>
  <c r="E60" i="23"/>
  <c r="D60" i="23"/>
  <c r="E59" i="23"/>
  <c r="D59" i="23"/>
  <c r="E58" i="23"/>
  <c r="D58" i="23"/>
  <c r="E57" i="23"/>
  <c r="D57" i="23"/>
  <c r="E56" i="23"/>
  <c r="D56" i="23"/>
  <c r="E53" i="23"/>
  <c r="D53" i="23"/>
  <c r="E52" i="23"/>
  <c r="D52" i="23"/>
  <c r="E51" i="23"/>
  <c r="D51" i="23"/>
  <c r="E50" i="23"/>
  <c r="D50" i="23"/>
  <c r="E49" i="23"/>
  <c r="D49" i="23"/>
  <c r="E48" i="23"/>
  <c r="D48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E35" i="23"/>
  <c r="D35" i="23"/>
  <c r="E34" i="23"/>
  <c r="D34" i="23"/>
  <c r="E33" i="23"/>
  <c r="D33" i="23"/>
  <c r="E32" i="23"/>
  <c r="D32" i="23"/>
  <c r="E31" i="23"/>
  <c r="D31" i="23"/>
  <c r="E30" i="23"/>
  <c r="D30" i="23"/>
  <c r="E29" i="23"/>
  <c r="D29" i="23"/>
  <c r="E28" i="23"/>
  <c r="D28" i="23"/>
  <c r="E27" i="23"/>
  <c r="D27" i="23"/>
  <c r="E26" i="23"/>
  <c r="D26" i="23"/>
  <c r="E25" i="23"/>
  <c r="D25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3" i="23"/>
  <c r="D13" i="23"/>
  <c r="E12" i="23"/>
  <c r="D12" i="23"/>
  <c r="E11" i="23"/>
  <c r="D11" i="23"/>
  <c r="E10" i="23"/>
  <c r="D10" i="23"/>
  <c r="E9" i="23"/>
  <c r="D9" i="23"/>
  <c r="E8" i="23"/>
  <c r="D8" i="23"/>
  <c r="F7" i="23"/>
  <c r="E7" i="23"/>
  <c r="D7" i="23"/>
  <c r="E6" i="23"/>
  <c r="D6" i="23"/>
  <c r="E5" i="23"/>
  <c r="D5" i="23"/>
  <c r="X56" i="5"/>
  <c r="Y56" i="5" s="1"/>
  <c r="Y55" i="5"/>
  <c r="X55" i="5"/>
  <c r="Y54" i="5"/>
  <c r="X54" i="5"/>
  <c r="X51" i="5"/>
  <c r="Y51" i="5" s="1"/>
  <c r="Y50" i="5"/>
  <c r="X50" i="5"/>
  <c r="Y49" i="5"/>
  <c r="X49" i="5"/>
  <c r="F122" i="23" l="1"/>
  <c r="F159" i="23" s="1"/>
  <c r="X46" i="5"/>
  <c r="Y46" i="5" s="1"/>
  <c r="Y57" i="5"/>
  <c r="K83" i="23" s="1"/>
  <c r="X57" i="5"/>
  <c r="J83" i="23" s="1"/>
  <c r="X52" i="5"/>
  <c r="H83" i="23" s="1"/>
  <c r="Y52" i="5"/>
  <c r="I83" i="23" s="1"/>
  <c r="Z52" i="5" l="1"/>
  <c r="AA52" i="5"/>
  <c r="AA57" i="5"/>
  <c r="X59" i="5"/>
  <c r="L83" i="23" s="1"/>
  <c r="L128" i="23" s="1"/>
  <c r="L129" i="23" s="1"/>
  <c r="L166" i="23" l="1"/>
  <c r="Y59" i="5"/>
  <c r="M83" i="23" s="1"/>
  <c r="M128" i="23" s="1"/>
  <c r="M129" i="23" s="1"/>
  <c r="Z59" i="5"/>
  <c r="L108" i="23" s="1"/>
  <c r="X18" i="11"/>
  <c r="F85" i="23" s="1"/>
  <c r="Y18" i="11"/>
  <c r="G85" i="23" s="1"/>
  <c r="X157" i="11"/>
  <c r="Y157" i="11"/>
  <c r="X144" i="11"/>
  <c r="Y144" i="11"/>
  <c r="X117" i="11"/>
  <c r="Y117" i="11"/>
  <c r="X90" i="11"/>
  <c r="Y90" i="11"/>
  <c r="X70" i="11"/>
  <c r="Y70" i="11"/>
  <c r="X50" i="11"/>
  <c r="Y50" i="11"/>
  <c r="X31" i="11"/>
  <c r="AF84" i="23" l="1"/>
  <c r="AI84" i="23"/>
  <c r="U84" i="23"/>
  <c r="AH84" i="23"/>
  <c r="AA84" i="23"/>
  <c r="Z84" i="23"/>
  <c r="Q84" i="23"/>
  <c r="P84" i="23"/>
  <c r="T84" i="23"/>
  <c r="AG84" i="23"/>
  <c r="M166" i="23"/>
  <c r="J84" i="23"/>
  <c r="K84" i="23"/>
  <c r="H84" i="23"/>
  <c r="X12" i="11"/>
  <c r="Y12" i="11"/>
  <c r="AA59" i="5"/>
  <c r="M108" i="23" s="1"/>
  <c r="L107" i="23"/>
  <c r="L169" i="23"/>
  <c r="F84" i="23" l="1"/>
  <c r="G84" i="23"/>
  <c r="L109" i="23"/>
  <c r="L130" i="23"/>
  <c r="M169" i="23"/>
  <c r="M107" i="23"/>
  <c r="I49" i="7"/>
  <c r="I48" i="7"/>
  <c r="H48" i="7" s="1"/>
  <c r="I46" i="7"/>
  <c r="I45" i="7"/>
  <c r="H45" i="7" s="1"/>
  <c r="I43" i="7"/>
  <c r="I42" i="7"/>
  <c r="I29" i="7"/>
  <c r="I28" i="7"/>
  <c r="K65" i="6"/>
  <c r="J65" i="6"/>
  <c r="K64" i="6"/>
  <c r="I70" i="23" s="1"/>
  <c r="J64" i="6"/>
  <c r="H70" i="23" s="1"/>
  <c r="K63" i="6"/>
  <c r="I69" i="23" s="1"/>
  <c r="J63" i="6"/>
  <c r="H69" i="23" s="1"/>
  <c r="K62" i="6"/>
  <c r="I68" i="23" s="1"/>
  <c r="J62" i="6"/>
  <c r="H68" i="23" s="1"/>
  <c r="K61" i="6"/>
  <c r="I67" i="23" s="1"/>
  <c r="J61" i="6"/>
  <c r="H67" i="23" s="1"/>
  <c r="K60" i="6"/>
  <c r="I66" i="23" s="1"/>
  <c r="J60" i="6"/>
  <c r="H66" i="23" s="1"/>
  <c r="K59" i="6"/>
  <c r="J59" i="6"/>
  <c r="K57" i="6"/>
  <c r="I62" i="23" s="1"/>
  <c r="J57" i="6"/>
  <c r="K56" i="6"/>
  <c r="I61" i="23" s="1"/>
  <c r="J56" i="6"/>
  <c r="H61" i="23" s="1"/>
  <c r="K55" i="6"/>
  <c r="I60" i="23" s="1"/>
  <c r="J55" i="6"/>
  <c r="H60" i="23" s="1"/>
  <c r="K54" i="6"/>
  <c r="I59" i="23" s="1"/>
  <c r="J54" i="6"/>
  <c r="H59" i="23" s="1"/>
  <c r="K53" i="6"/>
  <c r="I58" i="23" s="1"/>
  <c r="J53" i="6"/>
  <c r="H58" i="23" s="1"/>
  <c r="K52" i="6"/>
  <c r="I57" i="23" s="1"/>
  <c r="J52" i="6"/>
  <c r="H57" i="23" s="1"/>
  <c r="K51" i="6"/>
  <c r="J51" i="6"/>
  <c r="K49" i="6"/>
  <c r="J49" i="6"/>
  <c r="K48" i="6"/>
  <c r="I52" i="23" s="1"/>
  <c r="J48" i="6"/>
  <c r="H52" i="23" s="1"/>
  <c r="K47" i="6"/>
  <c r="I51" i="23" s="1"/>
  <c r="I114" i="23" s="1"/>
  <c r="J47" i="6"/>
  <c r="H51" i="23" s="1"/>
  <c r="H114" i="23" s="1"/>
  <c r="K46" i="6"/>
  <c r="I50" i="23" s="1"/>
  <c r="I123" i="23" s="1"/>
  <c r="J46" i="6"/>
  <c r="H50" i="23" s="1"/>
  <c r="H123" i="23" s="1"/>
  <c r="K45" i="6"/>
  <c r="I49" i="23" s="1"/>
  <c r="I115" i="23" s="1"/>
  <c r="J45" i="6"/>
  <c r="H49" i="23" s="1"/>
  <c r="H115" i="23" s="1"/>
  <c r="K44" i="6"/>
  <c r="I48" i="23" s="1"/>
  <c r="I116" i="23" s="1"/>
  <c r="J44" i="6"/>
  <c r="H48" i="23" s="1"/>
  <c r="H116" i="23" s="1"/>
  <c r="K43" i="6"/>
  <c r="J43" i="6"/>
  <c r="K82" i="6"/>
  <c r="K31" i="23" s="1"/>
  <c r="J82" i="6"/>
  <c r="J31" i="23" s="1"/>
  <c r="J81" i="6"/>
  <c r="J30" i="23" s="1"/>
  <c r="K80" i="6"/>
  <c r="K29" i="23" s="1"/>
  <c r="J80" i="6"/>
  <c r="J29" i="23" s="1"/>
  <c r="K79" i="6"/>
  <c r="J79" i="6"/>
  <c r="J28" i="23" s="1"/>
  <c r="J78" i="6"/>
  <c r="J27" i="23" s="1"/>
  <c r="J77" i="6"/>
  <c r="J26" i="23" s="1"/>
  <c r="J76" i="6"/>
  <c r="K98" i="6"/>
  <c r="K45" i="23" s="1"/>
  <c r="J98" i="6"/>
  <c r="J45" i="23" s="1"/>
  <c r="J97" i="6"/>
  <c r="J44" i="23" s="1"/>
  <c r="K96" i="6"/>
  <c r="K43" i="23" s="1"/>
  <c r="J96" i="6"/>
  <c r="J43" i="23" s="1"/>
  <c r="K95" i="6"/>
  <c r="J95" i="6"/>
  <c r="J42" i="23" s="1"/>
  <c r="J94" i="6"/>
  <c r="J41" i="23" s="1"/>
  <c r="J93" i="6"/>
  <c r="J40" i="23" s="1"/>
  <c r="J92" i="6"/>
  <c r="K90" i="6"/>
  <c r="K38" i="23" s="1"/>
  <c r="J90" i="6"/>
  <c r="J38" i="23" s="1"/>
  <c r="J89" i="6"/>
  <c r="J37" i="23" s="1"/>
  <c r="K88" i="6"/>
  <c r="K36" i="23" s="1"/>
  <c r="J88" i="6"/>
  <c r="J36" i="23" s="1"/>
  <c r="K87" i="6"/>
  <c r="J87" i="6"/>
  <c r="J35" i="23" s="1"/>
  <c r="J86" i="6"/>
  <c r="J34" i="23" s="1"/>
  <c r="J85" i="6"/>
  <c r="J33" i="23" s="1"/>
  <c r="J84" i="6"/>
  <c r="H28" i="7" l="1"/>
  <c r="K36" i="7"/>
  <c r="H29" i="7"/>
  <c r="F14" i="23" s="1"/>
  <c r="F125" i="23" s="1"/>
  <c r="F162" i="23" s="1"/>
  <c r="G14" i="23"/>
  <c r="H42" i="7"/>
  <c r="H53" i="23" s="1"/>
  <c r="I71" i="23"/>
  <c r="H160" i="23"/>
  <c r="L167" i="23"/>
  <c r="L170" i="23" s="1"/>
  <c r="I151" i="23"/>
  <c r="H152" i="23"/>
  <c r="I160" i="23"/>
  <c r="I152" i="23"/>
  <c r="H151" i="23"/>
  <c r="H62" i="23"/>
  <c r="L90" i="6"/>
  <c r="J32" i="23"/>
  <c r="M90" i="6"/>
  <c r="K35" i="23"/>
  <c r="L49" i="6"/>
  <c r="H47" i="23"/>
  <c r="I56" i="23"/>
  <c r="M57" i="6"/>
  <c r="H46" i="7"/>
  <c r="H63" i="23" s="1"/>
  <c r="I63" i="23"/>
  <c r="M109" i="23"/>
  <c r="M130" i="23"/>
  <c r="L82" i="6"/>
  <c r="J25" i="23"/>
  <c r="M49" i="6"/>
  <c r="I47" i="23"/>
  <c r="L98" i="6"/>
  <c r="J39" i="23"/>
  <c r="M82" i="6"/>
  <c r="K28" i="23"/>
  <c r="I53" i="23"/>
  <c r="I121" i="23" s="1"/>
  <c r="L65" i="6"/>
  <c r="H65" i="23"/>
  <c r="H43" i="7"/>
  <c r="H54" i="23" s="1"/>
  <c r="I54" i="23"/>
  <c r="H49" i="7"/>
  <c r="H72" i="23" s="1"/>
  <c r="I72" i="23"/>
  <c r="M98" i="6"/>
  <c r="K42" i="23"/>
  <c r="L57" i="6"/>
  <c r="H56" i="23"/>
  <c r="M65" i="6"/>
  <c r="I65" i="23"/>
  <c r="H71" i="23"/>
  <c r="H125" i="23" l="1"/>
  <c r="I122" i="23"/>
  <c r="H121" i="23"/>
  <c r="H122" i="23"/>
  <c r="G125" i="23"/>
  <c r="G162" i="23" s="1"/>
  <c r="I125" i="23"/>
  <c r="I162" i="23" s="1"/>
  <c r="H162" i="23"/>
  <c r="M167" i="23"/>
  <c r="M170" i="23" s="1"/>
  <c r="H159" i="23"/>
  <c r="L66" i="6"/>
  <c r="I159" i="23"/>
  <c r="M66" i="6"/>
  <c r="W154" i="4"/>
  <c r="Q154" i="4" s="1"/>
  <c r="W153" i="4"/>
  <c r="T154" i="4"/>
  <c r="T153" i="4"/>
  <c r="W147" i="4"/>
  <c r="Q147" i="4" s="1"/>
  <c r="W146" i="4"/>
  <c r="Q146" i="4" s="1"/>
  <c r="T147" i="4"/>
  <c r="T146" i="4"/>
  <c r="W128" i="4"/>
  <c r="Q128" i="4" s="1"/>
  <c r="W127" i="4"/>
  <c r="T128" i="4"/>
  <c r="T127" i="4"/>
  <c r="W109" i="4"/>
  <c r="Q109" i="4" s="1"/>
  <c r="W108" i="4"/>
  <c r="Q108" i="4" s="1"/>
  <c r="T109" i="4"/>
  <c r="T108" i="4"/>
  <c r="W95" i="4"/>
  <c r="Q95" i="4" s="1"/>
  <c r="W94" i="4"/>
  <c r="Q94" i="4" s="1"/>
  <c r="T95" i="4"/>
  <c r="T94" i="4"/>
  <c r="U154" i="4" l="1"/>
  <c r="Q153" i="4"/>
  <c r="U153" i="4" s="1"/>
  <c r="U147" i="4"/>
  <c r="U146" i="4"/>
  <c r="U128" i="4"/>
  <c r="Q127" i="4"/>
  <c r="U127" i="4" s="1"/>
  <c r="U109" i="4"/>
  <c r="U108" i="4"/>
  <c r="U95" i="4"/>
  <c r="U94" i="4"/>
  <c r="Q78" i="4" l="1"/>
  <c r="Q76" i="4"/>
  <c r="T78" i="4"/>
  <c r="J76" i="23" s="1"/>
  <c r="T76" i="4"/>
  <c r="J74" i="23" s="1"/>
  <c r="Q73" i="4"/>
  <c r="Q72" i="4"/>
  <c r="T73" i="4"/>
  <c r="T72" i="4"/>
  <c r="Q64" i="4"/>
  <c r="Q63" i="4"/>
  <c r="T64" i="4"/>
  <c r="T63" i="4"/>
  <c r="Q41" i="4"/>
  <c r="T41" i="4"/>
  <c r="T40" i="4"/>
  <c r="Q57" i="4"/>
  <c r="T57" i="4"/>
  <c r="T56" i="4"/>
  <c r="U76" i="4" l="1"/>
  <c r="K74" i="23" s="1"/>
  <c r="U78" i="4"/>
  <c r="K76" i="23" s="1"/>
  <c r="U72" i="4"/>
  <c r="U73" i="4"/>
  <c r="U63" i="4"/>
  <c r="U64" i="4"/>
  <c r="Q40" i="4"/>
  <c r="U40" i="4" s="1"/>
  <c r="U41" i="4"/>
  <c r="U57" i="4"/>
  <c r="Q56" i="4"/>
  <c r="U56" i="4" s="1"/>
  <c r="O43" i="5" l="1"/>
  <c r="Y43" i="5" s="1"/>
  <c r="X43" i="5"/>
  <c r="M180" i="3"/>
  <c r="M156" i="3"/>
  <c r="M144" i="3"/>
  <c r="M138" i="3"/>
  <c r="M136" i="3"/>
  <c r="M115" i="3"/>
  <c r="M81" i="3" l="1"/>
  <c r="M76" i="3"/>
  <c r="M71" i="3"/>
  <c r="M43" i="3"/>
  <c r="AA43" i="3" s="1"/>
  <c r="O84" i="10" l="1"/>
  <c r="AI87" i="23" s="1"/>
  <c r="N84" i="10"/>
  <c r="AH87" i="23" s="1"/>
  <c r="O83" i="10"/>
  <c r="AI86" i="23" s="1"/>
  <c r="N83" i="10"/>
  <c r="AH86" i="23" s="1"/>
  <c r="O81" i="10"/>
  <c r="AG87" i="23" s="1"/>
  <c r="N81" i="10"/>
  <c r="AF87" i="23" s="1"/>
  <c r="O80" i="10"/>
  <c r="AG86" i="23" s="1"/>
  <c r="N80" i="10"/>
  <c r="AF86" i="23" s="1"/>
  <c r="O78" i="10"/>
  <c r="AE87" i="23" s="1"/>
  <c r="N78" i="10"/>
  <c r="AD87" i="23" s="1"/>
  <c r="O77" i="10"/>
  <c r="AE86" i="23" s="1"/>
  <c r="N77" i="10"/>
  <c r="AD86" i="23" s="1"/>
  <c r="O75" i="10"/>
  <c r="AC87" i="23" s="1"/>
  <c r="N75" i="10"/>
  <c r="AB87" i="23" s="1"/>
  <c r="O74" i="10"/>
  <c r="AC86" i="23" s="1"/>
  <c r="N74" i="10"/>
  <c r="AB86" i="23" s="1"/>
  <c r="O72" i="10"/>
  <c r="AA87" i="23" s="1"/>
  <c r="N72" i="10"/>
  <c r="Z87" i="23" s="1"/>
  <c r="O71" i="10"/>
  <c r="AA86" i="23" s="1"/>
  <c r="N71" i="10"/>
  <c r="Z86" i="23" s="1"/>
  <c r="O69" i="10"/>
  <c r="Y87" i="23" s="1"/>
  <c r="N69" i="10"/>
  <c r="X87" i="23" s="1"/>
  <c r="O68" i="10"/>
  <c r="Y86" i="23" s="1"/>
  <c r="N68" i="10"/>
  <c r="X86" i="23" s="1"/>
  <c r="O66" i="10"/>
  <c r="W87" i="23" s="1"/>
  <c r="N66" i="10"/>
  <c r="V87" i="23" s="1"/>
  <c r="O65" i="10"/>
  <c r="W86" i="23" s="1"/>
  <c r="N65" i="10"/>
  <c r="V86" i="23" s="1"/>
  <c r="O63" i="10"/>
  <c r="U87" i="23" s="1"/>
  <c r="N63" i="10"/>
  <c r="T87" i="23" s="1"/>
  <c r="O62" i="10"/>
  <c r="U86" i="23" s="1"/>
  <c r="N62" i="10"/>
  <c r="T86" i="23" s="1"/>
  <c r="O60" i="10"/>
  <c r="S87" i="23" s="1"/>
  <c r="N60" i="10"/>
  <c r="R87" i="23" s="1"/>
  <c r="O59" i="10"/>
  <c r="S86" i="23" s="1"/>
  <c r="N59" i="10"/>
  <c r="R86" i="23" s="1"/>
  <c r="O57" i="10"/>
  <c r="Q87" i="23" s="1"/>
  <c r="N57" i="10"/>
  <c r="P87" i="23" s="1"/>
  <c r="O56" i="10"/>
  <c r="Q86" i="23" s="1"/>
  <c r="N56" i="10"/>
  <c r="P86" i="23" s="1"/>
  <c r="Q120" i="23" l="1"/>
  <c r="P165" i="23"/>
  <c r="P127" i="23"/>
  <c r="R127" i="23"/>
  <c r="R165" i="23" s="1"/>
  <c r="T165" i="23"/>
  <c r="T127" i="23"/>
  <c r="V127" i="23"/>
  <c r="V165" i="23" s="1"/>
  <c r="X165" i="23"/>
  <c r="X127" i="23"/>
  <c r="Z127" i="23"/>
  <c r="Z165" i="23" s="1"/>
  <c r="AB165" i="23"/>
  <c r="AB127" i="23"/>
  <c r="AD127" i="23"/>
  <c r="AD165" i="23" s="1"/>
  <c r="AF165" i="23"/>
  <c r="AF127" i="23"/>
  <c r="AH127" i="23"/>
  <c r="AH165" i="23" s="1"/>
  <c r="S127" i="23"/>
  <c r="S165" i="23" s="1"/>
  <c r="W127" i="23"/>
  <c r="W165" i="23" s="1"/>
  <c r="Y165" i="23"/>
  <c r="Y127" i="23"/>
  <c r="AA127" i="23"/>
  <c r="AA165" i="23" s="1"/>
  <c r="AC165" i="23"/>
  <c r="AC127" i="23"/>
  <c r="AE127" i="23"/>
  <c r="AE165" i="23" s="1"/>
  <c r="AG165" i="23"/>
  <c r="AG127" i="23"/>
  <c r="AI127" i="23"/>
  <c r="AI165" i="23" s="1"/>
  <c r="Q165" i="23"/>
  <c r="Q127" i="23"/>
  <c r="U127" i="23"/>
  <c r="U165" i="23" s="1"/>
  <c r="P120" i="23"/>
  <c r="R120" i="23"/>
  <c r="T120" i="23"/>
  <c r="V120" i="23"/>
  <c r="X120" i="23"/>
  <c r="Z120" i="23"/>
  <c r="AB120" i="23"/>
  <c r="AD120" i="23"/>
  <c r="AF120" i="23"/>
  <c r="AH120" i="23"/>
  <c r="S120" i="23"/>
  <c r="U120" i="23"/>
  <c r="W120" i="23"/>
  <c r="Y120" i="23"/>
  <c r="AA120" i="23"/>
  <c r="AC120" i="23"/>
  <c r="AC157" i="23" s="1"/>
  <c r="AE120" i="23"/>
  <c r="AG120" i="23"/>
  <c r="AI120" i="23"/>
  <c r="P63" i="10"/>
  <c r="Q72" i="10"/>
  <c r="P75" i="10"/>
  <c r="Q84" i="10"/>
  <c r="Q63" i="10"/>
  <c r="P66" i="10"/>
  <c r="P78" i="10"/>
  <c r="P57" i="10"/>
  <c r="Q66" i="10"/>
  <c r="P69" i="10"/>
  <c r="Q78" i="10"/>
  <c r="P81" i="10"/>
  <c r="Q60" i="10"/>
  <c r="Q75" i="10"/>
  <c r="Q57" i="10"/>
  <c r="P60" i="10"/>
  <c r="Q69" i="10"/>
  <c r="P72" i="10"/>
  <c r="Q81" i="10"/>
  <c r="P84" i="10"/>
  <c r="O54" i="10"/>
  <c r="O87" i="23" s="1"/>
  <c r="N54" i="10"/>
  <c r="N87" i="23" s="1"/>
  <c r="O53" i="10"/>
  <c r="O86" i="23" s="1"/>
  <c r="N53" i="10"/>
  <c r="N86" i="23" s="1"/>
  <c r="O51" i="10"/>
  <c r="K87" i="23" s="1"/>
  <c r="N51" i="10"/>
  <c r="J87" i="23" s="1"/>
  <c r="O50" i="10"/>
  <c r="K86" i="23" s="1"/>
  <c r="N50" i="10"/>
  <c r="J86" i="23" s="1"/>
  <c r="K165" i="23" l="1"/>
  <c r="K127" i="23"/>
  <c r="O127" i="23"/>
  <c r="O165" i="23" s="1"/>
  <c r="AI157" i="23"/>
  <c r="AE157" i="23"/>
  <c r="AA157" i="23"/>
  <c r="W157" i="23"/>
  <c r="S157" i="23"/>
  <c r="AF157" i="23"/>
  <c r="AB157" i="23"/>
  <c r="X157" i="23"/>
  <c r="T157" i="23"/>
  <c r="P157" i="23"/>
  <c r="J127" i="23"/>
  <c r="J165" i="23" s="1"/>
  <c r="N127" i="23"/>
  <c r="N165" i="23" s="1"/>
  <c r="J120" i="23"/>
  <c r="J157" i="23" s="1"/>
  <c r="N120" i="23"/>
  <c r="K120" i="23"/>
  <c r="K157" i="23" s="1"/>
  <c r="O120" i="23"/>
  <c r="O157" i="23" s="1"/>
  <c r="AG157" i="23"/>
  <c r="Y157" i="23"/>
  <c r="U157" i="23"/>
  <c r="AH157" i="23"/>
  <c r="AD157" i="23"/>
  <c r="Z157" i="23"/>
  <c r="V157" i="23"/>
  <c r="R157" i="23"/>
  <c r="Q157" i="23"/>
  <c r="Q54" i="10"/>
  <c r="P51" i="10"/>
  <c r="Q51" i="10"/>
  <c r="P54" i="10"/>
  <c r="N48" i="10"/>
  <c r="H87" i="23" s="1"/>
  <c r="N47" i="10"/>
  <c r="H86" i="23" s="1"/>
  <c r="N45" i="10"/>
  <c r="F87" i="23" s="1"/>
  <c r="F120" i="23" s="1"/>
  <c r="F157" i="23" s="1"/>
  <c r="N44" i="10"/>
  <c r="O44" i="10"/>
  <c r="G86" i="23" s="1"/>
  <c r="H127" i="23" l="1"/>
  <c r="H165" i="23" s="1"/>
  <c r="G165" i="23"/>
  <c r="G127" i="23"/>
  <c r="H120" i="23"/>
  <c r="N157" i="23"/>
  <c r="F86" i="23"/>
  <c r="F127" i="23" s="1"/>
  <c r="F165" i="23" s="1"/>
  <c r="P45" i="10"/>
  <c r="P48" i="10"/>
  <c r="O48" i="10"/>
  <c r="I87" i="23" s="1"/>
  <c r="O45" i="10"/>
  <c r="G87" i="23" s="1"/>
  <c r="G120" i="23" l="1"/>
  <c r="G157" i="23" s="1"/>
  <c r="H157" i="23"/>
  <c r="I120" i="23"/>
  <c r="Q45" i="10"/>
  <c r="O47" i="10"/>
  <c r="I86" i="23" s="1"/>
  <c r="I127" i="23" l="1"/>
  <c r="I165" i="23" s="1"/>
  <c r="I157" i="23"/>
  <c r="Q48" i="10"/>
  <c r="AI163" i="23"/>
  <c r="AE163" i="23"/>
  <c r="AC163" i="23"/>
  <c r="U163" i="23"/>
  <c r="Q163" i="23"/>
  <c r="O163" i="23"/>
  <c r="I163" i="23"/>
  <c r="Y163" i="23" l="1"/>
  <c r="S163" i="23"/>
  <c r="W163" i="23"/>
  <c r="AG163" i="23"/>
  <c r="AA163" i="23"/>
  <c r="AH163" i="23"/>
  <c r="K163" i="23"/>
  <c r="G163" i="23"/>
  <c r="AF163" i="23"/>
  <c r="AD163" i="23"/>
  <c r="AB163" i="23"/>
  <c r="X163" i="23"/>
  <c r="T163" i="23"/>
  <c r="R163" i="23"/>
  <c r="P163" i="23"/>
  <c r="N163" i="23"/>
  <c r="J163" i="23"/>
  <c r="H163" i="23"/>
  <c r="Y1208" i="8"/>
  <c r="X1208" i="8"/>
  <c r="W1208" i="8"/>
  <c r="V1208" i="8"/>
  <c r="AB1208" i="8" s="1"/>
  <c r="U1208" i="8"/>
  <c r="AA1208" i="8" s="1"/>
  <c r="T1208" i="8"/>
  <c r="Z1208" i="8" s="1"/>
  <c r="Y1207" i="8"/>
  <c r="X1207" i="8"/>
  <c r="W1207" i="8"/>
  <c r="V1207" i="8"/>
  <c r="AB1207" i="8" s="1"/>
  <c r="U1207" i="8"/>
  <c r="AA1207" i="8" s="1"/>
  <c r="T1207" i="8"/>
  <c r="Z1207" i="8" s="1"/>
  <c r="Y1206" i="8"/>
  <c r="X1206" i="8"/>
  <c r="W1206" i="8"/>
  <c r="V1206" i="8"/>
  <c r="AB1206" i="8" s="1"/>
  <c r="U1206" i="8"/>
  <c r="AA1206" i="8" s="1"/>
  <c r="T1206" i="8"/>
  <c r="Z1206" i="8" s="1"/>
  <c r="Y1205" i="8"/>
  <c r="X1205" i="8"/>
  <c r="W1205" i="8"/>
  <c r="V1205" i="8"/>
  <c r="AB1205" i="8" s="1"/>
  <c r="U1205" i="8"/>
  <c r="AA1205" i="8" s="1"/>
  <c r="T1205" i="8"/>
  <c r="Z1205" i="8" s="1"/>
  <c r="Y1203" i="8"/>
  <c r="X1203" i="8"/>
  <c r="W1203" i="8"/>
  <c r="V1203" i="8"/>
  <c r="AB1203" i="8" s="1"/>
  <c r="U1203" i="8"/>
  <c r="AA1203" i="8" s="1"/>
  <c r="T1203" i="8"/>
  <c r="Z1203" i="8" s="1"/>
  <c r="Y1202" i="8"/>
  <c r="X1202" i="8"/>
  <c r="AE1202" i="8" s="1"/>
  <c r="W1202" i="8"/>
  <c r="Y1201" i="8"/>
  <c r="X1201" i="8"/>
  <c r="AE1201" i="8" s="1"/>
  <c r="W1201" i="8"/>
  <c r="Y1200" i="8"/>
  <c r="X1200" i="8"/>
  <c r="AE1200" i="8" s="1"/>
  <c r="W1200" i="8"/>
  <c r="Y1199" i="8"/>
  <c r="X1199" i="8"/>
  <c r="AE1199" i="8" s="1"/>
  <c r="W1199" i="8"/>
  <c r="Y1197" i="8"/>
  <c r="X1197" i="8"/>
  <c r="AE1198" i="8" s="1"/>
  <c r="W1197" i="8"/>
  <c r="O1197" i="8"/>
  <c r="K1197" i="8"/>
  <c r="I1197" i="8" s="1"/>
  <c r="Y1147" i="8"/>
  <c r="X1147" i="8"/>
  <c r="W1147" i="8"/>
  <c r="V1147" i="8"/>
  <c r="AB1147" i="8" s="1"/>
  <c r="U1147" i="8"/>
  <c r="AA1147" i="8" s="1"/>
  <c r="T1147" i="8"/>
  <c r="Z1147" i="8" s="1"/>
  <c r="Y1146" i="8"/>
  <c r="X1146" i="8"/>
  <c r="W1146" i="8"/>
  <c r="V1146" i="8"/>
  <c r="AB1146" i="8" s="1"/>
  <c r="U1146" i="8"/>
  <c r="AA1146" i="8" s="1"/>
  <c r="T1146" i="8"/>
  <c r="Z1146" i="8" s="1"/>
  <c r="Y1145" i="8"/>
  <c r="X1145" i="8"/>
  <c r="W1145" i="8"/>
  <c r="V1145" i="8"/>
  <c r="AB1145" i="8" s="1"/>
  <c r="U1145" i="8"/>
  <c r="AA1145" i="8" s="1"/>
  <c r="T1145" i="8"/>
  <c r="Z1145" i="8" s="1"/>
  <c r="Y1144" i="8"/>
  <c r="X1144" i="8"/>
  <c r="W1144" i="8"/>
  <c r="V1144" i="8"/>
  <c r="AB1144" i="8" s="1"/>
  <c r="U1144" i="8"/>
  <c r="AA1144" i="8" s="1"/>
  <c r="T1144" i="8"/>
  <c r="Z1144" i="8" s="1"/>
  <c r="Y1142" i="8"/>
  <c r="X1142" i="8"/>
  <c r="W1142" i="8"/>
  <c r="V1142" i="8"/>
  <c r="AB1142" i="8" s="1"/>
  <c r="U1142" i="8"/>
  <c r="AA1142" i="8" s="1"/>
  <c r="T1142" i="8"/>
  <c r="Z1142" i="8" s="1"/>
  <c r="Y1141" i="8"/>
  <c r="X1141" i="8"/>
  <c r="AE1141" i="8" s="1"/>
  <c r="W1141" i="8"/>
  <c r="Y1140" i="8"/>
  <c r="X1140" i="8"/>
  <c r="AE1140" i="8" s="1"/>
  <c r="W1140" i="8"/>
  <c r="Y1139" i="8"/>
  <c r="X1139" i="8"/>
  <c r="AE1139" i="8" s="1"/>
  <c r="W1139" i="8"/>
  <c r="Y1138" i="8"/>
  <c r="X1138" i="8"/>
  <c r="AE1138" i="8" s="1"/>
  <c r="W1138" i="8"/>
  <c r="Y1136" i="8"/>
  <c r="X1136" i="8"/>
  <c r="AE1137" i="8" s="1"/>
  <c r="W1136" i="8"/>
  <c r="O1136" i="8"/>
  <c r="K1136" i="8"/>
  <c r="I1136" i="8" s="1"/>
  <c r="Y1086" i="8"/>
  <c r="X1086" i="8"/>
  <c r="W1086" i="8"/>
  <c r="V1086" i="8"/>
  <c r="AB1086" i="8" s="1"/>
  <c r="U1086" i="8"/>
  <c r="AA1086" i="8" s="1"/>
  <c r="T1086" i="8"/>
  <c r="Z1086" i="8" s="1"/>
  <c r="Y1085" i="8"/>
  <c r="X1085" i="8"/>
  <c r="W1085" i="8"/>
  <c r="V1085" i="8"/>
  <c r="AB1085" i="8" s="1"/>
  <c r="U1085" i="8"/>
  <c r="AA1085" i="8" s="1"/>
  <c r="T1085" i="8"/>
  <c r="Z1085" i="8" s="1"/>
  <c r="Y1084" i="8"/>
  <c r="X1084" i="8"/>
  <c r="W1084" i="8"/>
  <c r="V1084" i="8"/>
  <c r="AB1084" i="8" s="1"/>
  <c r="U1084" i="8"/>
  <c r="AA1084" i="8" s="1"/>
  <c r="T1084" i="8"/>
  <c r="Z1084" i="8" s="1"/>
  <c r="Y1083" i="8"/>
  <c r="X1083" i="8"/>
  <c r="W1083" i="8"/>
  <c r="V1083" i="8"/>
  <c r="AB1083" i="8" s="1"/>
  <c r="U1083" i="8"/>
  <c r="AA1083" i="8" s="1"/>
  <c r="T1083" i="8"/>
  <c r="Z1083" i="8" s="1"/>
  <c r="Y1081" i="8"/>
  <c r="X1081" i="8"/>
  <c r="W1081" i="8"/>
  <c r="V1081" i="8"/>
  <c r="AB1081" i="8" s="1"/>
  <c r="U1081" i="8"/>
  <c r="AA1081" i="8" s="1"/>
  <c r="T1081" i="8"/>
  <c r="Z1081" i="8" s="1"/>
  <c r="Y1080" i="8"/>
  <c r="X1080" i="8"/>
  <c r="AE1080" i="8" s="1"/>
  <c r="W1080" i="8"/>
  <c r="Y1079" i="8"/>
  <c r="X1079" i="8"/>
  <c r="AE1079" i="8" s="1"/>
  <c r="W1079" i="8"/>
  <c r="Y1078" i="8"/>
  <c r="X1078" i="8"/>
  <c r="AE1078" i="8" s="1"/>
  <c r="W1078" i="8"/>
  <c r="Y1077" i="8"/>
  <c r="X1077" i="8"/>
  <c r="AE1077" i="8" s="1"/>
  <c r="W1077" i="8"/>
  <c r="Y1075" i="8"/>
  <c r="X1075" i="8"/>
  <c r="AE1076" i="8" s="1"/>
  <c r="W1075" i="8"/>
  <c r="O1075" i="8"/>
  <c r="K1075" i="8"/>
  <c r="I1075" i="8" s="1"/>
  <c r="Y1013" i="8"/>
  <c r="X1013" i="8"/>
  <c r="W1013" i="8"/>
  <c r="V1013" i="8"/>
  <c r="AB1013" i="8" s="1"/>
  <c r="U1013" i="8"/>
  <c r="AA1013" i="8" s="1"/>
  <c r="T1013" i="8"/>
  <c r="Z1013" i="8" s="1"/>
  <c r="Y1012" i="8"/>
  <c r="X1012" i="8"/>
  <c r="W1012" i="8"/>
  <c r="V1012" i="8"/>
  <c r="AB1012" i="8" s="1"/>
  <c r="U1012" i="8"/>
  <c r="AA1012" i="8" s="1"/>
  <c r="T1012" i="8"/>
  <c r="Z1012" i="8" s="1"/>
  <c r="Y1011" i="8"/>
  <c r="X1011" i="8"/>
  <c r="W1011" i="8"/>
  <c r="V1011" i="8"/>
  <c r="AB1011" i="8" s="1"/>
  <c r="U1011" i="8"/>
  <c r="AA1011" i="8" s="1"/>
  <c r="T1011" i="8"/>
  <c r="Z1011" i="8" s="1"/>
  <c r="Y1010" i="8"/>
  <c r="X1010" i="8"/>
  <c r="W1010" i="8"/>
  <c r="V1010" i="8"/>
  <c r="AB1010" i="8" s="1"/>
  <c r="U1010" i="8"/>
  <c r="AA1010" i="8" s="1"/>
  <c r="T1010" i="8"/>
  <c r="Z1010" i="8" s="1"/>
  <c r="Y1008" i="8"/>
  <c r="X1008" i="8"/>
  <c r="W1008" i="8"/>
  <c r="V1008" i="8"/>
  <c r="AB1008" i="8" s="1"/>
  <c r="U1008" i="8"/>
  <c r="AA1008" i="8" s="1"/>
  <c r="T1008" i="8"/>
  <c r="Z1008" i="8" s="1"/>
  <c r="Y1007" i="8"/>
  <c r="X1007" i="8"/>
  <c r="AE1007" i="8" s="1"/>
  <c r="W1007" i="8"/>
  <c r="Y1006" i="8"/>
  <c r="X1006" i="8"/>
  <c r="AE1006" i="8" s="1"/>
  <c r="W1006" i="8"/>
  <c r="Y1005" i="8"/>
  <c r="X1005" i="8"/>
  <c r="AE1005" i="8" s="1"/>
  <c r="W1005" i="8"/>
  <c r="Y1004" i="8"/>
  <c r="X1004" i="8"/>
  <c r="AE1004" i="8" s="1"/>
  <c r="W1004" i="8"/>
  <c r="Y1002" i="8"/>
  <c r="X1002" i="8"/>
  <c r="AE1003" i="8" s="1"/>
  <c r="W1002" i="8"/>
  <c r="O1002" i="8"/>
  <c r="K1002" i="8"/>
  <c r="I1002" i="8" s="1"/>
  <c r="V1007" i="8" s="1"/>
  <c r="Y922" i="8"/>
  <c r="X922" i="8"/>
  <c r="W922" i="8"/>
  <c r="V922" i="8"/>
  <c r="AB922" i="8" s="1"/>
  <c r="U922" i="8"/>
  <c r="AA922" i="8" s="1"/>
  <c r="T922" i="8"/>
  <c r="Z922" i="8" s="1"/>
  <c r="Y921" i="8"/>
  <c r="X921" i="8"/>
  <c r="W921" i="8"/>
  <c r="V921" i="8"/>
  <c r="AB921" i="8" s="1"/>
  <c r="U921" i="8"/>
  <c r="AA921" i="8" s="1"/>
  <c r="T921" i="8"/>
  <c r="Z921" i="8" s="1"/>
  <c r="Y920" i="8"/>
  <c r="X920" i="8"/>
  <c r="W920" i="8"/>
  <c r="V920" i="8"/>
  <c r="AB920" i="8" s="1"/>
  <c r="U920" i="8"/>
  <c r="AA920" i="8" s="1"/>
  <c r="T920" i="8"/>
  <c r="Z920" i="8" s="1"/>
  <c r="Y919" i="8"/>
  <c r="X919" i="8"/>
  <c r="W919" i="8"/>
  <c r="V919" i="8"/>
  <c r="AB919" i="8" s="1"/>
  <c r="U919" i="8"/>
  <c r="AA919" i="8" s="1"/>
  <c r="T919" i="8"/>
  <c r="Z919" i="8" s="1"/>
  <c r="Y917" i="8"/>
  <c r="X917" i="8"/>
  <c r="W917" i="8"/>
  <c r="V917" i="8"/>
  <c r="AB917" i="8" s="1"/>
  <c r="U917" i="8"/>
  <c r="AA917" i="8" s="1"/>
  <c r="T917" i="8"/>
  <c r="Z917" i="8" s="1"/>
  <c r="Y916" i="8"/>
  <c r="X916" i="8"/>
  <c r="AE916" i="8" s="1"/>
  <c r="W916" i="8"/>
  <c r="Y915" i="8"/>
  <c r="X915" i="8"/>
  <c r="AE915" i="8" s="1"/>
  <c r="W915" i="8"/>
  <c r="Y914" i="8"/>
  <c r="X914" i="8"/>
  <c r="AE914" i="8" s="1"/>
  <c r="W914" i="8"/>
  <c r="Y913" i="8"/>
  <c r="X913" i="8"/>
  <c r="AE913" i="8" s="1"/>
  <c r="W913" i="8"/>
  <c r="Y911" i="8"/>
  <c r="X911" i="8"/>
  <c r="AE912" i="8" s="1"/>
  <c r="W911" i="8"/>
  <c r="O911" i="8"/>
  <c r="K911" i="8"/>
  <c r="I911" i="8" s="1"/>
  <c r="Y861" i="8"/>
  <c r="X861" i="8"/>
  <c r="W861" i="8"/>
  <c r="V861" i="8"/>
  <c r="AB861" i="8" s="1"/>
  <c r="U861" i="8"/>
  <c r="AA861" i="8" s="1"/>
  <c r="T861" i="8"/>
  <c r="Z861" i="8" s="1"/>
  <c r="Y860" i="8"/>
  <c r="X860" i="8"/>
  <c r="W860" i="8"/>
  <c r="V860" i="8"/>
  <c r="AB860" i="8" s="1"/>
  <c r="U860" i="8"/>
  <c r="AA860" i="8" s="1"/>
  <c r="T860" i="8"/>
  <c r="Z860" i="8" s="1"/>
  <c r="Y859" i="8"/>
  <c r="X859" i="8"/>
  <c r="W859" i="8"/>
  <c r="V859" i="8"/>
  <c r="AB859" i="8" s="1"/>
  <c r="U859" i="8"/>
  <c r="AA859" i="8" s="1"/>
  <c r="T859" i="8"/>
  <c r="Z859" i="8" s="1"/>
  <c r="Y858" i="8"/>
  <c r="X858" i="8"/>
  <c r="W858" i="8"/>
  <c r="V858" i="8"/>
  <c r="AB858" i="8" s="1"/>
  <c r="U858" i="8"/>
  <c r="AA858" i="8" s="1"/>
  <c r="T858" i="8"/>
  <c r="Z858" i="8" s="1"/>
  <c r="Y856" i="8"/>
  <c r="X856" i="8"/>
  <c r="W856" i="8"/>
  <c r="V856" i="8"/>
  <c r="AB856" i="8" s="1"/>
  <c r="U856" i="8"/>
  <c r="AA856" i="8" s="1"/>
  <c r="T856" i="8"/>
  <c r="Z856" i="8" s="1"/>
  <c r="Y855" i="8"/>
  <c r="X855" i="8"/>
  <c r="AE855" i="8" s="1"/>
  <c r="W855" i="8"/>
  <c r="Y854" i="8"/>
  <c r="X854" i="8"/>
  <c r="AE854" i="8" s="1"/>
  <c r="W854" i="8"/>
  <c r="Y853" i="8"/>
  <c r="X853" i="8"/>
  <c r="AE853" i="8" s="1"/>
  <c r="W853" i="8"/>
  <c r="Y852" i="8"/>
  <c r="X852" i="8"/>
  <c r="AE852" i="8" s="1"/>
  <c r="W852" i="8"/>
  <c r="Y850" i="8"/>
  <c r="X850" i="8"/>
  <c r="AE851" i="8" s="1"/>
  <c r="W850" i="8"/>
  <c r="O850" i="8"/>
  <c r="K850" i="8"/>
  <c r="I850" i="8" s="1"/>
  <c r="U855" i="8" s="1"/>
  <c r="Y788" i="8"/>
  <c r="X788" i="8"/>
  <c r="W788" i="8"/>
  <c r="V788" i="8"/>
  <c r="AB788" i="8" s="1"/>
  <c r="U788" i="8"/>
  <c r="AA788" i="8" s="1"/>
  <c r="T788" i="8"/>
  <c r="Z788" i="8" s="1"/>
  <c r="Y787" i="8"/>
  <c r="X787" i="8"/>
  <c r="W787" i="8"/>
  <c r="V787" i="8"/>
  <c r="AB787" i="8" s="1"/>
  <c r="U787" i="8"/>
  <c r="AA787" i="8" s="1"/>
  <c r="T787" i="8"/>
  <c r="Z787" i="8" s="1"/>
  <c r="Y786" i="8"/>
  <c r="X786" i="8"/>
  <c r="W786" i="8"/>
  <c r="V786" i="8"/>
  <c r="AB786" i="8" s="1"/>
  <c r="U786" i="8"/>
  <c r="AA786" i="8" s="1"/>
  <c r="T786" i="8"/>
  <c r="Z786" i="8" s="1"/>
  <c r="Y785" i="8"/>
  <c r="X785" i="8"/>
  <c r="W785" i="8"/>
  <c r="V785" i="8"/>
  <c r="AB785" i="8" s="1"/>
  <c r="U785" i="8"/>
  <c r="AA785" i="8" s="1"/>
  <c r="T785" i="8"/>
  <c r="Z785" i="8" s="1"/>
  <c r="Y783" i="8"/>
  <c r="X783" i="8"/>
  <c r="W783" i="8"/>
  <c r="V783" i="8"/>
  <c r="AB783" i="8" s="1"/>
  <c r="U783" i="8"/>
  <c r="AA783" i="8" s="1"/>
  <c r="T783" i="8"/>
  <c r="Z783" i="8" s="1"/>
  <c r="Y782" i="8"/>
  <c r="X782" i="8"/>
  <c r="AE782" i="8" s="1"/>
  <c r="W782" i="8"/>
  <c r="Y781" i="8"/>
  <c r="X781" i="8"/>
  <c r="AE781" i="8" s="1"/>
  <c r="W781" i="8"/>
  <c r="Y780" i="8"/>
  <c r="X780" i="8"/>
  <c r="AE780" i="8" s="1"/>
  <c r="W780" i="8"/>
  <c r="Y779" i="8"/>
  <c r="X779" i="8"/>
  <c r="AE779" i="8" s="1"/>
  <c r="W779" i="8"/>
  <c r="Y777" i="8"/>
  <c r="X777" i="8"/>
  <c r="AE777" i="8" s="1"/>
  <c r="W777" i="8"/>
  <c r="O777" i="8"/>
  <c r="K777" i="8"/>
  <c r="I777" i="8" s="1"/>
  <c r="Y697" i="8"/>
  <c r="X697" i="8"/>
  <c r="W697" i="8"/>
  <c r="V697" i="8"/>
  <c r="AB697" i="8" s="1"/>
  <c r="U697" i="8"/>
  <c r="AA697" i="8" s="1"/>
  <c r="T697" i="8"/>
  <c r="Z697" i="8" s="1"/>
  <c r="Y696" i="8"/>
  <c r="X696" i="8"/>
  <c r="W696" i="8"/>
  <c r="V696" i="8"/>
  <c r="AB696" i="8" s="1"/>
  <c r="U696" i="8"/>
  <c r="AA696" i="8" s="1"/>
  <c r="T696" i="8"/>
  <c r="Z696" i="8" s="1"/>
  <c r="Y695" i="8"/>
  <c r="X695" i="8"/>
  <c r="W695" i="8"/>
  <c r="V695" i="8"/>
  <c r="AB695" i="8" s="1"/>
  <c r="U695" i="8"/>
  <c r="AA695" i="8" s="1"/>
  <c r="T695" i="8"/>
  <c r="Z695" i="8" s="1"/>
  <c r="Y694" i="8"/>
  <c r="X694" i="8"/>
  <c r="W694" i="8"/>
  <c r="V694" i="8"/>
  <c r="AB694" i="8" s="1"/>
  <c r="U694" i="8"/>
  <c r="AA694" i="8" s="1"/>
  <c r="T694" i="8"/>
  <c r="Z694" i="8" s="1"/>
  <c r="Y692" i="8"/>
  <c r="X692" i="8"/>
  <c r="W692" i="8"/>
  <c r="V692" i="8"/>
  <c r="AB692" i="8" s="1"/>
  <c r="U692" i="8"/>
  <c r="AA692" i="8" s="1"/>
  <c r="T692" i="8"/>
  <c r="Z692" i="8" s="1"/>
  <c r="Y691" i="8"/>
  <c r="X691" i="8"/>
  <c r="AE691" i="8" s="1"/>
  <c r="W691" i="8"/>
  <c r="Y690" i="8"/>
  <c r="X690" i="8"/>
  <c r="AE690" i="8" s="1"/>
  <c r="W690" i="8"/>
  <c r="Y689" i="8"/>
  <c r="X689" i="8"/>
  <c r="AE689" i="8" s="1"/>
  <c r="W689" i="8"/>
  <c r="Y688" i="8"/>
  <c r="X688" i="8"/>
  <c r="AE688" i="8" s="1"/>
  <c r="W688" i="8"/>
  <c r="Y686" i="8"/>
  <c r="X686" i="8"/>
  <c r="AE687" i="8" s="1"/>
  <c r="W686" i="8"/>
  <c r="O686" i="8"/>
  <c r="K686" i="8"/>
  <c r="I686" i="8" s="1"/>
  <c r="Y624" i="8"/>
  <c r="X624" i="8"/>
  <c r="W624" i="8"/>
  <c r="V624" i="8"/>
  <c r="AB624" i="8" s="1"/>
  <c r="U624" i="8"/>
  <c r="AA624" i="8" s="1"/>
  <c r="T624" i="8"/>
  <c r="Z624" i="8" s="1"/>
  <c r="Y623" i="8"/>
  <c r="X623" i="8"/>
  <c r="W623" i="8"/>
  <c r="V623" i="8"/>
  <c r="AB623" i="8" s="1"/>
  <c r="U623" i="8"/>
  <c r="AA623" i="8" s="1"/>
  <c r="T623" i="8"/>
  <c r="Z623" i="8" s="1"/>
  <c r="Y622" i="8"/>
  <c r="X622" i="8"/>
  <c r="W622" i="8"/>
  <c r="V622" i="8"/>
  <c r="AB622" i="8" s="1"/>
  <c r="U622" i="8"/>
  <c r="AA622" i="8" s="1"/>
  <c r="T622" i="8"/>
  <c r="Z622" i="8" s="1"/>
  <c r="Y621" i="8"/>
  <c r="X621" i="8"/>
  <c r="W621" i="8"/>
  <c r="V621" i="8"/>
  <c r="AB621" i="8" s="1"/>
  <c r="U621" i="8"/>
  <c r="AA621" i="8" s="1"/>
  <c r="T621" i="8"/>
  <c r="Z621" i="8" s="1"/>
  <c r="Y619" i="8"/>
  <c r="X619" i="8"/>
  <c r="W619" i="8"/>
  <c r="V619" i="8"/>
  <c r="AB619" i="8" s="1"/>
  <c r="U619" i="8"/>
  <c r="AA619" i="8" s="1"/>
  <c r="T619" i="8"/>
  <c r="Z619" i="8" s="1"/>
  <c r="Y618" i="8"/>
  <c r="X618" i="8"/>
  <c r="AE618" i="8" s="1"/>
  <c r="W618" i="8"/>
  <c r="Y617" i="8"/>
  <c r="X617" i="8"/>
  <c r="AE617" i="8" s="1"/>
  <c r="W617" i="8"/>
  <c r="Y616" i="8"/>
  <c r="X616" i="8"/>
  <c r="AE616" i="8" s="1"/>
  <c r="W616" i="8"/>
  <c r="Y615" i="8"/>
  <c r="X615" i="8"/>
  <c r="AE615" i="8" s="1"/>
  <c r="W615" i="8"/>
  <c r="Y613" i="8"/>
  <c r="X613" i="8"/>
  <c r="AE614" i="8" s="1"/>
  <c r="W613" i="8"/>
  <c r="O613" i="8"/>
  <c r="K613" i="8"/>
  <c r="I613" i="8" s="1"/>
  <c r="Y533" i="8"/>
  <c r="X533" i="8"/>
  <c r="W533" i="8"/>
  <c r="V533" i="8"/>
  <c r="AB533" i="8" s="1"/>
  <c r="U533" i="8"/>
  <c r="AA533" i="8" s="1"/>
  <c r="T533" i="8"/>
  <c r="Z533" i="8" s="1"/>
  <c r="Y532" i="8"/>
  <c r="X532" i="8"/>
  <c r="W532" i="8"/>
  <c r="V532" i="8"/>
  <c r="AB532" i="8" s="1"/>
  <c r="U532" i="8"/>
  <c r="AA532" i="8" s="1"/>
  <c r="T532" i="8"/>
  <c r="Z532" i="8" s="1"/>
  <c r="Y531" i="8"/>
  <c r="X531" i="8"/>
  <c r="W531" i="8"/>
  <c r="V531" i="8"/>
  <c r="AB531" i="8" s="1"/>
  <c r="U531" i="8"/>
  <c r="AA531" i="8" s="1"/>
  <c r="T531" i="8"/>
  <c r="Z531" i="8" s="1"/>
  <c r="Y530" i="8"/>
  <c r="X530" i="8"/>
  <c r="W530" i="8"/>
  <c r="V530" i="8"/>
  <c r="AB530" i="8" s="1"/>
  <c r="U530" i="8"/>
  <c r="AA530" i="8" s="1"/>
  <c r="T530" i="8"/>
  <c r="Z530" i="8" s="1"/>
  <c r="Y528" i="8"/>
  <c r="X528" i="8"/>
  <c r="W528" i="8"/>
  <c r="V528" i="8"/>
  <c r="AB528" i="8" s="1"/>
  <c r="U528" i="8"/>
  <c r="AA528" i="8" s="1"/>
  <c r="T528" i="8"/>
  <c r="Z528" i="8" s="1"/>
  <c r="Y527" i="8"/>
  <c r="X527" i="8"/>
  <c r="AE527" i="8" s="1"/>
  <c r="W527" i="8"/>
  <c r="Y526" i="8"/>
  <c r="X526" i="8"/>
  <c r="AE526" i="8" s="1"/>
  <c r="W526" i="8"/>
  <c r="Y525" i="8"/>
  <c r="X525" i="8"/>
  <c r="AE525" i="8" s="1"/>
  <c r="W525" i="8"/>
  <c r="Y524" i="8"/>
  <c r="X524" i="8"/>
  <c r="AE524" i="8" s="1"/>
  <c r="W524" i="8"/>
  <c r="Y522" i="8"/>
  <c r="X522" i="8"/>
  <c r="AE523" i="8" s="1"/>
  <c r="W522" i="8"/>
  <c r="O522" i="8"/>
  <c r="K522" i="8"/>
  <c r="I522" i="8" s="1"/>
  <c r="V527" i="8" s="1"/>
  <c r="Y460" i="8"/>
  <c r="X460" i="8"/>
  <c r="W460" i="8"/>
  <c r="V460" i="8"/>
  <c r="AB460" i="8" s="1"/>
  <c r="U460" i="8"/>
  <c r="AA460" i="8" s="1"/>
  <c r="T460" i="8"/>
  <c r="Z460" i="8" s="1"/>
  <c r="Y459" i="8"/>
  <c r="X459" i="8"/>
  <c r="W459" i="8"/>
  <c r="V459" i="8"/>
  <c r="AB459" i="8" s="1"/>
  <c r="U459" i="8"/>
  <c r="AA459" i="8" s="1"/>
  <c r="T459" i="8"/>
  <c r="Z459" i="8" s="1"/>
  <c r="Y458" i="8"/>
  <c r="X458" i="8"/>
  <c r="W458" i="8"/>
  <c r="V458" i="8"/>
  <c r="AB458" i="8" s="1"/>
  <c r="U458" i="8"/>
  <c r="AA458" i="8" s="1"/>
  <c r="T458" i="8"/>
  <c r="Z458" i="8" s="1"/>
  <c r="Y457" i="8"/>
  <c r="X457" i="8"/>
  <c r="W457" i="8"/>
  <c r="V457" i="8"/>
  <c r="AB457" i="8" s="1"/>
  <c r="U457" i="8"/>
  <c r="AA457" i="8" s="1"/>
  <c r="T457" i="8"/>
  <c r="Z457" i="8" s="1"/>
  <c r="Y455" i="8"/>
  <c r="X455" i="8"/>
  <c r="W455" i="8"/>
  <c r="V455" i="8"/>
  <c r="AB455" i="8" s="1"/>
  <c r="U455" i="8"/>
  <c r="AA455" i="8" s="1"/>
  <c r="T455" i="8"/>
  <c r="Z455" i="8" s="1"/>
  <c r="Y454" i="8"/>
  <c r="X454" i="8"/>
  <c r="AE454" i="8" s="1"/>
  <c r="W454" i="8"/>
  <c r="Y453" i="8"/>
  <c r="X453" i="8"/>
  <c r="AE453" i="8" s="1"/>
  <c r="W453" i="8"/>
  <c r="Y452" i="8"/>
  <c r="X452" i="8"/>
  <c r="AE452" i="8" s="1"/>
  <c r="W452" i="8"/>
  <c r="Y451" i="8"/>
  <c r="X451" i="8"/>
  <c r="AE451" i="8" s="1"/>
  <c r="W451" i="8"/>
  <c r="Y449" i="8"/>
  <c r="X449" i="8"/>
  <c r="AE450" i="8" s="1"/>
  <c r="W449" i="8"/>
  <c r="O449" i="8"/>
  <c r="K449" i="8"/>
  <c r="I449" i="8" s="1"/>
  <c r="V454" i="8" s="1"/>
  <c r="Y369" i="8"/>
  <c r="X369" i="8"/>
  <c r="W369" i="8"/>
  <c r="V369" i="8"/>
  <c r="AB369" i="8" s="1"/>
  <c r="U369" i="8"/>
  <c r="AA369" i="8" s="1"/>
  <c r="T369" i="8"/>
  <c r="Z369" i="8" s="1"/>
  <c r="Y368" i="8"/>
  <c r="X368" i="8"/>
  <c r="W368" i="8"/>
  <c r="V368" i="8"/>
  <c r="AB368" i="8" s="1"/>
  <c r="U368" i="8"/>
  <c r="AA368" i="8" s="1"/>
  <c r="T368" i="8"/>
  <c r="Z368" i="8" s="1"/>
  <c r="Y367" i="8"/>
  <c r="X367" i="8"/>
  <c r="W367" i="8"/>
  <c r="V367" i="8"/>
  <c r="AB367" i="8" s="1"/>
  <c r="U367" i="8"/>
  <c r="AA367" i="8" s="1"/>
  <c r="T367" i="8"/>
  <c r="Z367" i="8" s="1"/>
  <c r="Y366" i="8"/>
  <c r="X366" i="8"/>
  <c r="W366" i="8"/>
  <c r="V366" i="8"/>
  <c r="AB366" i="8" s="1"/>
  <c r="U366" i="8"/>
  <c r="AA366" i="8" s="1"/>
  <c r="T366" i="8"/>
  <c r="Z366" i="8" s="1"/>
  <c r="Y364" i="8"/>
  <c r="X364" i="8"/>
  <c r="W364" i="8"/>
  <c r="V364" i="8"/>
  <c r="AB364" i="8" s="1"/>
  <c r="U364" i="8"/>
  <c r="AA364" i="8" s="1"/>
  <c r="T364" i="8"/>
  <c r="Z364" i="8" s="1"/>
  <c r="Y363" i="8"/>
  <c r="X363" i="8"/>
  <c r="AE363" i="8" s="1"/>
  <c r="W363" i="8"/>
  <c r="Y362" i="8"/>
  <c r="X362" i="8"/>
  <c r="AE362" i="8" s="1"/>
  <c r="W362" i="8"/>
  <c r="Y361" i="8"/>
  <c r="X361" i="8"/>
  <c r="AE361" i="8" s="1"/>
  <c r="W361" i="8"/>
  <c r="Y360" i="8"/>
  <c r="X360" i="8"/>
  <c r="AE360" i="8" s="1"/>
  <c r="W360" i="8"/>
  <c r="Y358" i="8"/>
  <c r="X358" i="8"/>
  <c r="AE358" i="8" s="1"/>
  <c r="W358" i="8"/>
  <c r="O358" i="8"/>
  <c r="K358" i="8"/>
  <c r="I358" i="8" s="1"/>
  <c r="Y266" i="8"/>
  <c r="X266" i="8"/>
  <c r="W266" i="8"/>
  <c r="V266" i="8"/>
  <c r="AB266" i="8" s="1"/>
  <c r="U266" i="8"/>
  <c r="AA266" i="8" s="1"/>
  <c r="T266" i="8"/>
  <c r="Z266" i="8" s="1"/>
  <c r="Y265" i="8"/>
  <c r="X265" i="8"/>
  <c r="W265" i="8"/>
  <c r="V265" i="8"/>
  <c r="AB265" i="8" s="1"/>
  <c r="U265" i="8"/>
  <c r="AA265" i="8" s="1"/>
  <c r="T265" i="8"/>
  <c r="Z265" i="8" s="1"/>
  <c r="Y264" i="8"/>
  <c r="X264" i="8"/>
  <c r="W264" i="8"/>
  <c r="V264" i="8"/>
  <c r="AB264" i="8" s="1"/>
  <c r="U264" i="8"/>
  <c r="AA264" i="8" s="1"/>
  <c r="T264" i="8"/>
  <c r="Z264" i="8" s="1"/>
  <c r="Y263" i="8"/>
  <c r="X263" i="8"/>
  <c r="W263" i="8"/>
  <c r="V263" i="8"/>
  <c r="AB263" i="8" s="1"/>
  <c r="U263" i="8"/>
  <c r="AA263" i="8" s="1"/>
  <c r="T263" i="8"/>
  <c r="Z263" i="8" s="1"/>
  <c r="Y261" i="8"/>
  <c r="X261" i="8"/>
  <c r="W261" i="8"/>
  <c r="V261" i="8"/>
  <c r="AB261" i="8" s="1"/>
  <c r="U261" i="8"/>
  <c r="AA261" i="8" s="1"/>
  <c r="T261" i="8"/>
  <c r="Z261" i="8" s="1"/>
  <c r="Y260" i="8"/>
  <c r="X260" i="8"/>
  <c r="AE260" i="8" s="1"/>
  <c r="W260" i="8"/>
  <c r="Y259" i="8"/>
  <c r="X259" i="8"/>
  <c r="AE259" i="8" s="1"/>
  <c r="W259" i="8"/>
  <c r="Y258" i="8"/>
  <c r="X258" i="8"/>
  <c r="AE258" i="8" s="1"/>
  <c r="W258" i="8"/>
  <c r="Y257" i="8"/>
  <c r="X257" i="8"/>
  <c r="AE257" i="8" s="1"/>
  <c r="W257" i="8"/>
  <c r="Y255" i="8"/>
  <c r="X255" i="8"/>
  <c r="AE255" i="8" s="1"/>
  <c r="W255" i="8"/>
  <c r="O255" i="8"/>
  <c r="K255" i="8"/>
  <c r="I255" i="8" s="1"/>
  <c r="V260" i="8" s="1"/>
  <c r="Y145" i="8"/>
  <c r="X145" i="8"/>
  <c r="AE145" i="8" s="1"/>
  <c r="W145" i="8"/>
  <c r="Y144" i="8"/>
  <c r="X144" i="8"/>
  <c r="AE144" i="8" s="1"/>
  <c r="W144" i="8"/>
  <c r="Y143" i="8"/>
  <c r="X143" i="8"/>
  <c r="AE143" i="8" s="1"/>
  <c r="W143" i="8"/>
  <c r="Y142" i="8"/>
  <c r="X142" i="8"/>
  <c r="AE142" i="8" s="1"/>
  <c r="W142" i="8"/>
  <c r="Y140" i="8"/>
  <c r="X140" i="8"/>
  <c r="AE140" i="8" s="1"/>
  <c r="W140" i="8"/>
  <c r="O140" i="8"/>
  <c r="K140" i="8"/>
  <c r="I140" i="8" s="1"/>
  <c r="Y1001" i="8"/>
  <c r="X1001" i="8"/>
  <c r="AE1001" i="8" s="1"/>
  <c r="W1001" i="8"/>
  <c r="Y1000" i="8"/>
  <c r="X1000" i="8"/>
  <c r="AE1000" i="8" s="1"/>
  <c r="W1000" i="8"/>
  <c r="Y999" i="8"/>
  <c r="X999" i="8"/>
  <c r="AE999" i="8" s="1"/>
  <c r="W999" i="8"/>
  <c r="Y998" i="8"/>
  <c r="X998" i="8"/>
  <c r="AE998" i="8" s="1"/>
  <c r="W998" i="8"/>
  <c r="Y996" i="8"/>
  <c r="X996" i="8"/>
  <c r="AE997" i="8" s="1"/>
  <c r="W996" i="8"/>
  <c r="O996" i="8"/>
  <c r="K996" i="8"/>
  <c r="I996" i="8" s="1"/>
  <c r="Y776" i="8"/>
  <c r="X776" i="8"/>
  <c r="AE776" i="8" s="1"/>
  <c r="W776" i="8"/>
  <c r="Y775" i="8"/>
  <c r="X775" i="8"/>
  <c r="AE775" i="8" s="1"/>
  <c r="W775" i="8"/>
  <c r="Y774" i="8"/>
  <c r="X774" i="8"/>
  <c r="AE774" i="8" s="1"/>
  <c r="W774" i="8"/>
  <c r="Y773" i="8"/>
  <c r="X773" i="8"/>
  <c r="AE773" i="8" s="1"/>
  <c r="W773" i="8"/>
  <c r="Y771" i="8"/>
  <c r="X771" i="8"/>
  <c r="AE772" i="8" s="1"/>
  <c r="W771" i="8"/>
  <c r="O771" i="8"/>
  <c r="K771" i="8"/>
  <c r="I771" i="8" s="1"/>
  <c r="V776" i="8" s="1"/>
  <c r="Y612" i="8"/>
  <c r="X612" i="8"/>
  <c r="AE612" i="8" s="1"/>
  <c r="W612" i="8"/>
  <c r="Y611" i="8"/>
  <c r="X611" i="8"/>
  <c r="AE611" i="8" s="1"/>
  <c r="W611" i="8"/>
  <c r="Y610" i="8"/>
  <c r="X610" i="8"/>
  <c r="AE610" i="8" s="1"/>
  <c r="W610" i="8"/>
  <c r="Y609" i="8"/>
  <c r="X609" i="8"/>
  <c r="AE609" i="8" s="1"/>
  <c r="W609" i="8"/>
  <c r="Y607" i="8"/>
  <c r="X607" i="8"/>
  <c r="AE608" i="8" s="1"/>
  <c r="W607" i="8"/>
  <c r="O607" i="8"/>
  <c r="K607" i="8"/>
  <c r="I607" i="8" s="1"/>
  <c r="Y448" i="8"/>
  <c r="X448" i="8"/>
  <c r="AE448" i="8" s="1"/>
  <c r="W448" i="8"/>
  <c r="Y447" i="8"/>
  <c r="X447" i="8"/>
  <c r="AE447" i="8" s="1"/>
  <c r="W447" i="8"/>
  <c r="Y446" i="8"/>
  <c r="X446" i="8"/>
  <c r="AE446" i="8" s="1"/>
  <c r="W446" i="8"/>
  <c r="Y445" i="8"/>
  <c r="X445" i="8"/>
  <c r="AE445" i="8" s="1"/>
  <c r="W445" i="8"/>
  <c r="Y443" i="8"/>
  <c r="X443" i="8"/>
  <c r="AE444" i="8" s="1"/>
  <c r="W443" i="8"/>
  <c r="O443" i="8"/>
  <c r="K443" i="8"/>
  <c r="I443" i="8" s="1"/>
  <c r="V448" i="8" s="1"/>
  <c r="Y357" i="8"/>
  <c r="X357" i="8"/>
  <c r="AE357" i="8" s="1"/>
  <c r="W357" i="8"/>
  <c r="Y356" i="8"/>
  <c r="X356" i="8"/>
  <c r="AE356" i="8" s="1"/>
  <c r="W356" i="8"/>
  <c r="Y355" i="8"/>
  <c r="X355" i="8"/>
  <c r="AE355" i="8" s="1"/>
  <c r="W355" i="8"/>
  <c r="Y354" i="8"/>
  <c r="X354" i="8"/>
  <c r="AE354" i="8" s="1"/>
  <c r="W354" i="8"/>
  <c r="Y352" i="8"/>
  <c r="X352" i="8"/>
  <c r="AE352" i="8" s="1"/>
  <c r="W352" i="8"/>
  <c r="O352" i="8"/>
  <c r="K352" i="8"/>
  <c r="I352" i="8" s="1"/>
  <c r="Y254" i="8"/>
  <c r="X254" i="8"/>
  <c r="AE254" i="8" s="1"/>
  <c r="W254" i="8"/>
  <c r="Y253" i="8"/>
  <c r="X253" i="8"/>
  <c r="AE253" i="8" s="1"/>
  <c r="W253" i="8"/>
  <c r="Y252" i="8"/>
  <c r="X252" i="8"/>
  <c r="AE252" i="8" s="1"/>
  <c r="W252" i="8"/>
  <c r="Y251" i="8"/>
  <c r="X251" i="8"/>
  <c r="AE251" i="8" s="1"/>
  <c r="W251" i="8"/>
  <c r="Y249" i="8"/>
  <c r="X249" i="8"/>
  <c r="AE250" i="8" s="1"/>
  <c r="W249" i="8"/>
  <c r="O249" i="8"/>
  <c r="K249" i="8"/>
  <c r="I249" i="8" s="1"/>
  <c r="Y139" i="8"/>
  <c r="X139" i="8"/>
  <c r="AE139" i="8" s="1"/>
  <c r="W139" i="8"/>
  <c r="Y138" i="8"/>
  <c r="X138" i="8"/>
  <c r="AE138" i="8" s="1"/>
  <c r="W138" i="8"/>
  <c r="Y137" i="8"/>
  <c r="X137" i="8"/>
  <c r="AE137" i="8" s="1"/>
  <c r="W137" i="8"/>
  <c r="Y136" i="8"/>
  <c r="X136" i="8"/>
  <c r="AE136" i="8" s="1"/>
  <c r="W136" i="8"/>
  <c r="Y134" i="8"/>
  <c r="X134" i="8"/>
  <c r="AE135" i="8" s="1"/>
  <c r="W134" i="8"/>
  <c r="O134" i="8"/>
  <c r="K134" i="8"/>
  <c r="I134" i="8" s="1"/>
  <c r="Y351" i="8"/>
  <c r="X351" i="8"/>
  <c r="AE351" i="8" s="1"/>
  <c r="W351" i="8"/>
  <c r="Y350" i="8"/>
  <c r="X350" i="8"/>
  <c r="AE350" i="8" s="1"/>
  <c r="W350" i="8"/>
  <c r="Y349" i="8"/>
  <c r="X349" i="8"/>
  <c r="AE349" i="8" s="1"/>
  <c r="W349" i="8"/>
  <c r="Y348" i="8"/>
  <c r="X348" i="8"/>
  <c r="AE348" i="8" s="1"/>
  <c r="W348" i="8"/>
  <c r="Y346" i="8"/>
  <c r="X346" i="8"/>
  <c r="AE346" i="8" s="1"/>
  <c r="W346" i="8"/>
  <c r="O346" i="8"/>
  <c r="K346" i="8"/>
  <c r="I346" i="8" s="1"/>
  <c r="V351" i="8" s="1"/>
  <c r="Y248" i="8"/>
  <c r="X248" i="8"/>
  <c r="AE248" i="8" s="1"/>
  <c r="W248" i="8"/>
  <c r="Y247" i="8"/>
  <c r="X247" i="8"/>
  <c r="AE247" i="8" s="1"/>
  <c r="W247" i="8"/>
  <c r="Y246" i="8"/>
  <c r="X246" i="8"/>
  <c r="AE246" i="8" s="1"/>
  <c r="W246" i="8"/>
  <c r="Y245" i="8"/>
  <c r="X245" i="8"/>
  <c r="AE245" i="8" s="1"/>
  <c r="W245" i="8"/>
  <c r="Y243" i="8"/>
  <c r="X243" i="8"/>
  <c r="AE244" i="8" s="1"/>
  <c r="W243" i="8"/>
  <c r="O243" i="8"/>
  <c r="K243" i="8"/>
  <c r="I243" i="8" s="1"/>
  <c r="Y133" i="8"/>
  <c r="X133" i="8"/>
  <c r="AE133" i="8" s="1"/>
  <c r="W133" i="8"/>
  <c r="Y132" i="8"/>
  <c r="X132" i="8"/>
  <c r="AE132" i="8" s="1"/>
  <c r="W132" i="8"/>
  <c r="Y131" i="8"/>
  <c r="X131" i="8"/>
  <c r="AE131" i="8" s="1"/>
  <c r="W131" i="8"/>
  <c r="Y130" i="8"/>
  <c r="X130" i="8"/>
  <c r="AE130" i="8" s="1"/>
  <c r="W130" i="8"/>
  <c r="Y128" i="8"/>
  <c r="X128" i="8"/>
  <c r="AE128" i="8" s="1"/>
  <c r="W128" i="8"/>
  <c r="O128" i="8"/>
  <c r="K128" i="8"/>
  <c r="I128" i="8" s="1"/>
  <c r="Y995" i="8"/>
  <c r="X995" i="8"/>
  <c r="AE995" i="8" s="1"/>
  <c r="W995" i="8"/>
  <c r="Y994" i="8"/>
  <c r="X994" i="8"/>
  <c r="AE994" i="8" s="1"/>
  <c r="W994" i="8"/>
  <c r="Y993" i="8"/>
  <c r="X993" i="8"/>
  <c r="AE993" i="8" s="1"/>
  <c r="W993" i="8"/>
  <c r="Y992" i="8"/>
  <c r="X992" i="8"/>
  <c r="AE992" i="8" s="1"/>
  <c r="W992" i="8"/>
  <c r="Y990" i="8"/>
  <c r="X990" i="8"/>
  <c r="AE991" i="8" s="1"/>
  <c r="W990" i="8"/>
  <c r="O990" i="8"/>
  <c r="K990" i="8"/>
  <c r="I990" i="8" s="1"/>
  <c r="Y770" i="8"/>
  <c r="X770" i="8"/>
  <c r="AE770" i="8" s="1"/>
  <c r="W770" i="8"/>
  <c r="Y769" i="8"/>
  <c r="X769" i="8"/>
  <c r="AE769" i="8" s="1"/>
  <c r="W769" i="8"/>
  <c r="Y768" i="8"/>
  <c r="X768" i="8"/>
  <c r="AE768" i="8" s="1"/>
  <c r="W768" i="8"/>
  <c r="Y767" i="8"/>
  <c r="X767" i="8"/>
  <c r="AE767" i="8" s="1"/>
  <c r="W767" i="8"/>
  <c r="Y765" i="8"/>
  <c r="X765" i="8"/>
  <c r="AE765" i="8" s="1"/>
  <c r="W765" i="8"/>
  <c r="O765" i="8"/>
  <c r="K765" i="8"/>
  <c r="I765" i="8" s="1"/>
  <c r="V770" i="8" s="1"/>
  <c r="Y606" i="8"/>
  <c r="X606" i="8"/>
  <c r="AE606" i="8" s="1"/>
  <c r="W606" i="8"/>
  <c r="Y605" i="8"/>
  <c r="X605" i="8"/>
  <c r="AE605" i="8" s="1"/>
  <c r="W605" i="8"/>
  <c r="Y604" i="8"/>
  <c r="X604" i="8"/>
  <c r="AE604" i="8" s="1"/>
  <c r="W604" i="8"/>
  <c r="Y603" i="8"/>
  <c r="X603" i="8"/>
  <c r="AE603" i="8" s="1"/>
  <c r="W603" i="8"/>
  <c r="Y601" i="8"/>
  <c r="X601" i="8"/>
  <c r="AE602" i="8" s="1"/>
  <c r="W601" i="8"/>
  <c r="O601" i="8"/>
  <c r="K601" i="8"/>
  <c r="I601" i="8" s="1"/>
  <c r="Y442" i="8"/>
  <c r="X442" i="8"/>
  <c r="AE442" i="8" s="1"/>
  <c r="W442" i="8"/>
  <c r="Y441" i="8"/>
  <c r="X441" i="8"/>
  <c r="AE441" i="8" s="1"/>
  <c r="W441" i="8"/>
  <c r="Y440" i="8"/>
  <c r="X440" i="8"/>
  <c r="AE440" i="8" s="1"/>
  <c r="W440" i="8"/>
  <c r="Y439" i="8"/>
  <c r="X439" i="8"/>
  <c r="AE439" i="8" s="1"/>
  <c r="W439" i="8"/>
  <c r="Y437" i="8"/>
  <c r="X437" i="8"/>
  <c r="AE438" i="8" s="1"/>
  <c r="W437" i="8"/>
  <c r="O437" i="8"/>
  <c r="K437" i="8"/>
  <c r="I437" i="8" s="1"/>
  <c r="Y345" i="8"/>
  <c r="X345" i="8"/>
  <c r="AE345" i="8" s="1"/>
  <c r="W345" i="8"/>
  <c r="Y344" i="8"/>
  <c r="X344" i="8"/>
  <c r="AE344" i="8" s="1"/>
  <c r="W344" i="8"/>
  <c r="Y343" i="8"/>
  <c r="X343" i="8"/>
  <c r="AE343" i="8" s="1"/>
  <c r="W343" i="8"/>
  <c r="Y342" i="8"/>
  <c r="X342" i="8"/>
  <c r="AE342" i="8" s="1"/>
  <c r="W342" i="8"/>
  <c r="Y340" i="8"/>
  <c r="X340" i="8"/>
  <c r="AE341" i="8" s="1"/>
  <c r="W340" i="8"/>
  <c r="O340" i="8"/>
  <c r="K340" i="8"/>
  <c r="I340" i="8" s="1"/>
  <c r="Y242" i="8"/>
  <c r="X242" i="8"/>
  <c r="AE242" i="8" s="1"/>
  <c r="W242" i="8"/>
  <c r="Y241" i="8"/>
  <c r="X241" i="8"/>
  <c r="AE241" i="8" s="1"/>
  <c r="W241" i="8"/>
  <c r="Y240" i="8"/>
  <c r="X240" i="8"/>
  <c r="AE240" i="8" s="1"/>
  <c r="W240" i="8"/>
  <c r="Y239" i="8"/>
  <c r="X239" i="8"/>
  <c r="AE239" i="8" s="1"/>
  <c r="W239" i="8"/>
  <c r="Y237" i="8"/>
  <c r="X237" i="8"/>
  <c r="AE238" i="8" s="1"/>
  <c r="W237" i="8"/>
  <c r="O237" i="8"/>
  <c r="K237" i="8"/>
  <c r="I237" i="8" s="1"/>
  <c r="T242" i="8" s="1"/>
  <c r="Y127" i="8"/>
  <c r="X127" i="8"/>
  <c r="AE127" i="8" s="1"/>
  <c r="W127" i="8"/>
  <c r="Y126" i="8"/>
  <c r="X126" i="8"/>
  <c r="AE126" i="8" s="1"/>
  <c r="W126" i="8"/>
  <c r="Y125" i="8"/>
  <c r="X125" i="8"/>
  <c r="AE125" i="8" s="1"/>
  <c r="W125" i="8"/>
  <c r="Y124" i="8"/>
  <c r="X124" i="8"/>
  <c r="AE124" i="8" s="1"/>
  <c r="W124" i="8"/>
  <c r="Y122" i="8"/>
  <c r="X122" i="8"/>
  <c r="AE122" i="8" s="1"/>
  <c r="W122" i="8"/>
  <c r="O122" i="8"/>
  <c r="K122" i="8"/>
  <c r="I122" i="8" s="1"/>
  <c r="Y1074" i="8"/>
  <c r="X1074" i="8"/>
  <c r="AE1074" i="8" s="1"/>
  <c r="W1074" i="8"/>
  <c r="Y1073" i="8"/>
  <c r="X1073" i="8"/>
  <c r="AE1073" i="8" s="1"/>
  <c r="W1073" i="8"/>
  <c r="Y1072" i="8"/>
  <c r="X1072" i="8"/>
  <c r="AE1072" i="8" s="1"/>
  <c r="W1072" i="8"/>
  <c r="Y1071" i="8"/>
  <c r="X1071" i="8"/>
  <c r="AE1071" i="8" s="1"/>
  <c r="W1071" i="8"/>
  <c r="Y1069" i="8"/>
  <c r="X1069" i="8"/>
  <c r="AE1070" i="8" s="1"/>
  <c r="W1069" i="8"/>
  <c r="O1069" i="8"/>
  <c r="K1069" i="8"/>
  <c r="I1069" i="8" s="1"/>
  <c r="Y989" i="8"/>
  <c r="X989" i="8"/>
  <c r="AE989" i="8" s="1"/>
  <c r="W989" i="8"/>
  <c r="Y988" i="8"/>
  <c r="X988" i="8"/>
  <c r="AE988" i="8" s="1"/>
  <c r="W988" i="8"/>
  <c r="Y987" i="8"/>
  <c r="X987" i="8"/>
  <c r="AE987" i="8" s="1"/>
  <c r="W987" i="8"/>
  <c r="Y986" i="8"/>
  <c r="X986" i="8"/>
  <c r="AE986" i="8" s="1"/>
  <c r="W986" i="8"/>
  <c r="Y984" i="8"/>
  <c r="X984" i="8"/>
  <c r="AE985" i="8" s="1"/>
  <c r="W984" i="8"/>
  <c r="O984" i="8"/>
  <c r="K984" i="8"/>
  <c r="I984" i="8" s="1"/>
  <c r="Y849" i="8"/>
  <c r="X849" i="8"/>
  <c r="AE849" i="8" s="1"/>
  <c r="W849" i="8"/>
  <c r="Y848" i="8"/>
  <c r="X848" i="8"/>
  <c r="AE848" i="8" s="1"/>
  <c r="W848" i="8"/>
  <c r="Y847" i="8"/>
  <c r="X847" i="8"/>
  <c r="AE847" i="8" s="1"/>
  <c r="W847" i="8"/>
  <c r="Y846" i="8"/>
  <c r="X846" i="8"/>
  <c r="AE846" i="8" s="1"/>
  <c r="W846" i="8"/>
  <c r="Y844" i="8"/>
  <c r="X844" i="8"/>
  <c r="AE845" i="8" s="1"/>
  <c r="W844" i="8"/>
  <c r="O844" i="8"/>
  <c r="K844" i="8"/>
  <c r="I844" i="8" s="1"/>
  <c r="V849" i="8" s="1"/>
  <c r="Y764" i="8"/>
  <c r="X764" i="8"/>
  <c r="AE764" i="8" s="1"/>
  <c r="W764" i="8"/>
  <c r="Y763" i="8"/>
  <c r="X763" i="8"/>
  <c r="AE763" i="8" s="1"/>
  <c r="W763" i="8"/>
  <c r="Y762" i="8"/>
  <c r="X762" i="8"/>
  <c r="AE762" i="8" s="1"/>
  <c r="W762" i="8"/>
  <c r="Y761" i="8"/>
  <c r="X761" i="8"/>
  <c r="AE761" i="8" s="1"/>
  <c r="W761" i="8"/>
  <c r="Y759" i="8"/>
  <c r="X759" i="8"/>
  <c r="AE760" i="8" s="1"/>
  <c r="W759" i="8"/>
  <c r="O759" i="8"/>
  <c r="K759" i="8"/>
  <c r="I759" i="8" s="1"/>
  <c r="Y685" i="8"/>
  <c r="X685" i="8"/>
  <c r="AE685" i="8" s="1"/>
  <c r="W685" i="8"/>
  <c r="Y684" i="8"/>
  <c r="X684" i="8"/>
  <c r="AE684" i="8" s="1"/>
  <c r="W684" i="8"/>
  <c r="Y683" i="8"/>
  <c r="X683" i="8"/>
  <c r="AE683" i="8" s="1"/>
  <c r="W683" i="8"/>
  <c r="Y682" i="8"/>
  <c r="X682" i="8"/>
  <c r="AE682" i="8" s="1"/>
  <c r="W682" i="8"/>
  <c r="Y680" i="8"/>
  <c r="X680" i="8"/>
  <c r="AE680" i="8" s="1"/>
  <c r="W680" i="8"/>
  <c r="O680" i="8"/>
  <c r="K680" i="8"/>
  <c r="I680" i="8" s="1"/>
  <c r="Y600" i="8"/>
  <c r="X600" i="8"/>
  <c r="AE600" i="8" s="1"/>
  <c r="W600" i="8"/>
  <c r="Y599" i="8"/>
  <c r="X599" i="8"/>
  <c r="AE599" i="8" s="1"/>
  <c r="W599" i="8"/>
  <c r="Y598" i="8"/>
  <c r="X598" i="8"/>
  <c r="AE598" i="8" s="1"/>
  <c r="W598" i="8"/>
  <c r="Y597" i="8"/>
  <c r="X597" i="8"/>
  <c r="AE597" i="8" s="1"/>
  <c r="W597" i="8"/>
  <c r="Y595" i="8"/>
  <c r="X595" i="8"/>
  <c r="AE596" i="8" s="1"/>
  <c r="W595" i="8"/>
  <c r="O595" i="8"/>
  <c r="K595" i="8"/>
  <c r="I595" i="8" s="1"/>
  <c r="Y521" i="8"/>
  <c r="X521" i="8"/>
  <c r="AE521" i="8" s="1"/>
  <c r="W521" i="8"/>
  <c r="Y520" i="8"/>
  <c r="X520" i="8"/>
  <c r="AE520" i="8" s="1"/>
  <c r="W520" i="8"/>
  <c r="Y519" i="8"/>
  <c r="X519" i="8"/>
  <c r="AE519" i="8" s="1"/>
  <c r="W519" i="8"/>
  <c r="Y518" i="8"/>
  <c r="X518" i="8"/>
  <c r="AE518" i="8" s="1"/>
  <c r="W518" i="8"/>
  <c r="Y516" i="8"/>
  <c r="X516" i="8"/>
  <c r="AE517" i="8" s="1"/>
  <c r="W516" i="8"/>
  <c r="O516" i="8"/>
  <c r="K516" i="8"/>
  <c r="I516" i="8" s="1"/>
  <c r="Y436" i="8"/>
  <c r="X436" i="8"/>
  <c r="AE436" i="8" s="1"/>
  <c r="W436" i="8"/>
  <c r="Y435" i="8"/>
  <c r="X435" i="8"/>
  <c r="AE435" i="8" s="1"/>
  <c r="W435" i="8"/>
  <c r="Y434" i="8"/>
  <c r="X434" i="8"/>
  <c r="AE434" i="8" s="1"/>
  <c r="W434" i="8"/>
  <c r="Y433" i="8"/>
  <c r="X433" i="8"/>
  <c r="AE433" i="8" s="1"/>
  <c r="W433" i="8"/>
  <c r="Y431" i="8"/>
  <c r="X431" i="8"/>
  <c r="AE432" i="8" s="1"/>
  <c r="W431" i="8"/>
  <c r="O431" i="8"/>
  <c r="K431" i="8"/>
  <c r="I431" i="8" s="1"/>
  <c r="Y339" i="8"/>
  <c r="X339" i="8"/>
  <c r="AE339" i="8" s="1"/>
  <c r="W339" i="8"/>
  <c r="Y338" i="8"/>
  <c r="X338" i="8"/>
  <c r="AE338" i="8" s="1"/>
  <c r="W338" i="8"/>
  <c r="Y337" i="8"/>
  <c r="X337" i="8"/>
  <c r="AE337" i="8" s="1"/>
  <c r="W337" i="8"/>
  <c r="Y336" i="8"/>
  <c r="X336" i="8"/>
  <c r="AE336" i="8" s="1"/>
  <c r="W336" i="8"/>
  <c r="Y334" i="8"/>
  <c r="X334" i="8"/>
  <c r="AE334" i="8" s="1"/>
  <c r="W334" i="8"/>
  <c r="O334" i="8"/>
  <c r="K334" i="8"/>
  <c r="I334" i="8" s="1"/>
  <c r="Y121" i="8"/>
  <c r="X121" i="8"/>
  <c r="AE121" i="8" s="1"/>
  <c r="W121" i="8"/>
  <c r="Y120" i="8"/>
  <c r="X120" i="8"/>
  <c r="AE120" i="8" s="1"/>
  <c r="W120" i="8"/>
  <c r="Y119" i="8"/>
  <c r="X119" i="8"/>
  <c r="AE119" i="8" s="1"/>
  <c r="W119" i="8"/>
  <c r="Y118" i="8"/>
  <c r="X118" i="8"/>
  <c r="AE118" i="8" s="1"/>
  <c r="W118" i="8"/>
  <c r="Y116" i="8"/>
  <c r="X116" i="8"/>
  <c r="AE117" i="8" s="1"/>
  <c r="W116" i="8"/>
  <c r="O116" i="8"/>
  <c r="K116" i="8"/>
  <c r="I116" i="8" s="1"/>
  <c r="Y236" i="8"/>
  <c r="X236" i="8"/>
  <c r="AE236" i="8" s="1"/>
  <c r="W236" i="8"/>
  <c r="Y235" i="8"/>
  <c r="X235" i="8"/>
  <c r="AE235" i="8" s="1"/>
  <c r="W235" i="8"/>
  <c r="Y234" i="8"/>
  <c r="X234" i="8"/>
  <c r="AE234" i="8" s="1"/>
  <c r="W234" i="8"/>
  <c r="Y233" i="8"/>
  <c r="X233" i="8"/>
  <c r="AE233" i="8" s="1"/>
  <c r="W233" i="8"/>
  <c r="Y231" i="8"/>
  <c r="X231" i="8"/>
  <c r="AE231" i="8" s="1"/>
  <c r="W231" i="8"/>
  <c r="O231" i="8"/>
  <c r="K231" i="8"/>
  <c r="I231" i="8" s="1"/>
  <c r="V236" i="8" s="1"/>
  <c r="Y1068" i="8"/>
  <c r="X1068" i="8"/>
  <c r="AE1068" i="8" s="1"/>
  <c r="W1068" i="8"/>
  <c r="Y1067" i="8"/>
  <c r="X1067" i="8"/>
  <c r="AE1067" i="8" s="1"/>
  <c r="W1067" i="8"/>
  <c r="Y1066" i="8"/>
  <c r="X1066" i="8"/>
  <c r="AE1066" i="8" s="1"/>
  <c r="W1066" i="8"/>
  <c r="Y1065" i="8"/>
  <c r="X1065" i="8"/>
  <c r="AE1065" i="8" s="1"/>
  <c r="W1065" i="8"/>
  <c r="Y1063" i="8"/>
  <c r="X1063" i="8"/>
  <c r="AE1064" i="8" s="1"/>
  <c r="W1063" i="8"/>
  <c r="O1063" i="8"/>
  <c r="K1063" i="8"/>
  <c r="I1063" i="8" s="1"/>
  <c r="Y983" i="8"/>
  <c r="X983" i="8"/>
  <c r="AE983" i="8" s="1"/>
  <c r="W983" i="8"/>
  <c r="Y982" i="8"/>
  <c r="X982" i="8"/>
  <c r="AE982" i="8" s="1"/>
  <c r="W982" i="8"/>
  <c r="Y981" i="8"/>
  <c r="X981" i="8"/>
  <c r="AE981" i="8" s="1"/>
  <c r="W981" i="8"/>
  <c r="Y980" i="8"/>
  <c r="X980" i="8"/>
  <c r="AE980" i="8" s="1"/>
  <c r="W980" i="8"/>
  <c r="Y978" i="8"/>
  <c r="X978" i="8"/>
  <c r="AE979" i="8" s="1"/>
  <c r="W978" i="8"/>
  <c r="O978" i="8"/>
  <c r="K978" i="8"/>
  <c r="I978" i="8" s="1"/>
  <c r="V983" i="8" s="1"/>
  <c r="Y843" i="8"/>
  <c r="X843" i="8"/>
  <c r="AE843" i="8" s="1"/>
  <c r="W843" i="8"/>
  <c r="Y842" i="8"/>
  <c r="X842" i="8"/>
  <c r="AE842" i="8" s="1"/>
  <c r="W842" i="8"/>
  <c r="Y841" i="8"/>
  <c r="X841" i="8"/>
  <c r="AE841" i="8" s="1"/>
  <c r="W841" i="8"/>
  <c r="Y840" i="8"/>
  <c r="X840" i="8"/>
  <c r="AE840" i="8" s="1"/>
  <c r="W840" i="8"/>
  <c r="Y838" i="8"/>
  <c r="X838" i="8"/>
  <c r="AE839" i="8" s="1"/>
  <c r="W838" i="8"/>
  <c r="O838" i="8"/>
  <c r="K838" i="8"/>
  <c r="I838" i="8" s="1"/>
  <c r="Y758" i="8"/>
  <c r="X758" i="8"/>
  <c r="AE758" i="8" s="1"/>
  <c r="W758" i="8"/>
  <c r="Y757" i="8"/>
  <c r="X757" i="8"/>
  <c r="AE757" i="8" s="1"/>
  <c r="W757" i="8"/>
  <c r="Y756" i="8"/>
  <c r="X756" i="8"/>
  <c r="AE756" i="8" s="1"/>
  <c r="W756" i="8"/>
  <c r="Y755" i="8"/>
  <c r="X755" i="8"/>
  <c r="AE755" i="8" s="1"/>
  <c r="W755" i="8"/>
  <c r="Y753" i="8"/>
  <c r="X753" i="8"/>
  <c r="AE754" i="8" s="1"/>
  <c r="W753" i="8"/>
  <c r="O753" i="8"/>
  <c r="K753" i="8"/>
  <c r="I753" i="8" s="1"/>
  <c r="Y679" i="8"/>
  <c r="X679" i="8"/>
  <c r="AE679" i="8" s="1"/>
  <c r="W679" i="8"/>
  <c r="Y678" i="8"/>
  <c r="X678" i="8"/>
  <c r="AE678" i="8" s="1"/>
  <c r="W678" i="8"/>
  <c r="Y677" i="8"/>
  <c r="X677" i="8"/>
  <c r="AE677" i="8" s="1"/>
  <c r="W677" i="8"/>
  <c r="Y676" i="8"/>
  <c r="X676" i="8"/>
  <c r="AE676" i="8" s="1"/>
  <c r="W676" i="8"/>
  <c r="Y674" i="8"/>
  <c r="X674" i="8"/>
  <c r="AE674" i="8" s="1"/>
  <c r="W674" i="8"/>
  <c r="O674" i="8"/>
  <c r="K674" i="8"/>
  <c r="I674" i="8" s="1"/>
  <c r="Y594" i="8"/>
  <c r="X594" i="8"/>
  <c r="AE594" i="8" s="1"/>
  <c r="W594" i="8"/>
  <c r="Y593" i="8"/>
  <c r="X593" i="8"/>
  <c r="AE593" i="8" s="1"/>
  <c r="W593" i="8"/>
  <c r="Y592" i="8"/>
  <c r="X592" i="8"/>
  <c r="AE592" i="8" s="1"/>
  <c r="W592" i="8"/>
  <c r="Y591" i="8"/>
  <c r="X591" i="8"/>
  <c r="AE591" i="8" s="1"/>
  <c r="W591" i="8"/>
  <c r="Y589" i="8"/>
  <c r="X589" i="8"/>
  <c r="AE589" i="8" s="1"/>
  <c r="W589" i="8"/>
  <c r="O589" i="8"/>
  <c r="K589" i="8"/>
  <c r="I589" i="8" s="1"/>
  <c r="Y515" i="8"/>
  <c r="X515" i="8"/>
  <c r="AE515" i="8" s="1"/>
  <c r="W515" i="8"/>
  <c r="Y514" i="8"/>
  <c r="X514" i="8"/>
  <c r="AE514" i="8" s="1"/>
  <c r="W514" i="8"/>
  <c r="Y513" i="8"/>
  <c r="X513" i="8"/>
  <c r="AE513" i="8" s="1"/>
  <c r="W513" i="8"/>
  <c r="Y512" i="8"/>
  <c r="X512" i="8"/>
  <c r="AE512" i="8" s="1"/>
  <c r="W512" i="8"/>
  <c r="Y510" i="8"/>
  <c r="X510" i="8"/>
  <c r="AE510" i="8" s="1"/>
  <c r="W510" i="8"/>
  <c r="O510" i="8"/>
  <c r="K510" i="8"/>
  <c r="I510" i="8" s="1"/>
  <c r="Y430" i="8"/>
  <c r="X430" i="8"/>
  <c r="AE430" i="8" s="1"/>
  <c r="W430" i="8"/>
  <c r="Y429" i="8"/>
  <c r="X429" i="8"/>
  <c r="AE429" i="8" s="1"/>
  <c r="W429" i="8"/>
  <c r="Y428" i="8"/>
  <c r="X428" i="8"/>
  <c r="AE428" i="8" s="1"/>
  <c r="W428" i="8"/>
  <c r="Y427" i="8"/>
  <c r="X427" i="8"/>
  <c r="AE427" i="8" s="1"/>
  <c r="W427" i="8"/>
  <c r="Y425" i="8"/>
  <c r="X425" i="8"/>
  <c r="AE426" i="8" s="1"/>
  <c r="W425" i="8"/>
  <c r="O425" i="8"/>
  <c r="K425" i="8"/>
  <c r="I425" i="8" s="1"/>
  <c r="Y333" i="8"/>
  <c r="X333" i="8"/>
  <c r="AE333" i="8" s="1"/>
  <c r="W333" i="8"/>
  <c r="Y332" i="8"/>
  <c r="X332" i="8"/>
  <c r="AE332" i="8" s="1"/>
  <c r="W332" i="8"/>
  <c r="Y331" i="8"/>
  <c r="X331" i="8"/>
  <c r="AE331" i="8" s="1"/>
  <c r="W331" i="8"/>
  <c r="Y330" i="8"/>
  <c r="X330" i="8"/>
  <c r="AE330" i="8" s="1"/>
  <c r="W330" i="8"/>
  <c r="Y328" i="8"/>
  <c r="X328" i="8"/>
  <c r="AE329" i="8" s="1"/>
  <c r="W328" i="8"/>
  <c r="O328" i="8"/>
  <c r="K328" i="8"/>
  <c r="I328" i="8" s="1"/>
  <c r="V333" i="8" s="1"/>
  <c r="Y230" i="8"/>
  <c r="X230" i="8"/>
  <c r="AE230" i="8" s="1"/>
  <c r="W230" i="8"/>
  <c r="Y229" i="8"/>
  <c r="X229" i="8"/>
  <c r="AE229" i="8" s="1"/>
  <c r="W229" i="8"/>
  <c r="Y228" i="8"/>
  <c r="X228" i="8"/>
  <c r="AE228" i="8" s="1"/>
  <c r="W228" i="8"/>
  <c r="Y227" i="8"/>
  <c r="X227" i="8"/>
  <c r="AE227" i="8" s="1"/>
  <c r="W227" i="8"/>
  <c r="Y225" i="8"/>
  <c r="X225" i="8"/>
  <c r="AE226" i="8" s="1"/>
  <c r="W225" i="8"/>
  <c r="O225" i="8"/>
  <c r="K225" i="8"/>
  <c r="I225" i="8" s="1"/>
  <c r="V230" i="8" s="1"/>
  <c r="Y115" i="8"/>
  <c r="X115" i="8"/>
  <c r="AE115" i="8" s="1"/>
  <c r="W115" i="8"/>
  <c r="Y114" i="8"/>
  <c r="X114" i="8"/>
  <c r="AE114" i="8" s="1"/>
  <c r="W114" i="8"/>
  <c r="Y113" i="8"/>
  <c r="X113" i="8"/>
  <c r="AE113" i="8" s="1"/>
  <c r="W113" i="8"/>
  <c r="Y112" i="8"/>
  <c r="X112" i="8"/>
  <c r="AE112" i="8" s="1"/>
  <c r="W112" i="8"/>
  <c r="Y110" i="8"/>
  <c r="X110" i="8"/>
  <c r="AE110" i="8" s="1"/>
  <c r="W110" i="8"/>
  <c r="O110" i="8"/>
  <c r="K110" i="8"/>
  <c r="I110" i="8" s="1"/>
  <c r="Y224" i="8"/>
  <c r="X224" i="8"/>
  <c r="AE224" i="8" s="1"/>
  <c r="W224" i="8"/>
  <c r="Y223" i="8"/>
  <c r="X223" i="8"/>
  <c r="AE223" i="8" s="1"/>
  <c r="W223" i="8"/>
  <c r="Y222" i="8"/>
  <c r="X222" i="8"/>
  <c r="AE222" i="8" s="1"/>
  <c r="W222" i="8"/>
  <c r="Y221" i="8"/>
  <c r="X221" i="8"/>
  <c r="AE221" i="8" s="1"/>
  <c r="W221" i="8"/>
  <c r="Y219" i="8"/>
  <c r="X219" i="8"/>
  <c r="AE220" i="8" s="1"/>
  <c r="W219" i="8"/>
  <c r="O219" i="8"/>
  <c r="K219" i="8"/>
  <c r="I219" i="8" s="1"/>
  <c r="T224" i="8" s="1"/>
  <c r="Y977" i="8"/>
  <c r="X977" i="8"/>
  <c r="AE977" i="8" s="1"/>
  <c r="W977" i="8"/>
  <c r="Y976" i="8"/>
  <c r="X976" i="8"/>
  <c r="AE976" i="8" s="1"/>
  <c r="W976" i="8"/>
  <c r="Y975" i="8"/>
  <c r="X975" i="8"/>
  <c r="AE975" i="8" s="1"/>
  <c r="W975" i="8"/>
  <c r="Y974" i="8"/>
  <c r="X974" i="8"/>
  <c r="AE974" i="8" s="1"/>
  <c r="W974" i="8"/>
  <c r="Y972" i="8"/>
  <c r="X972" i="8"/>
  <c r="AE973" i="8" s="1"/>
  <c r="W972" i="8"/>
  <c r="O972" i="8"/>
  <c r="K972" i="8"/>
  <c r="I972" i="8" s="1"/>
  <c r="Y752" i="8"/>
  <c r="X752" i="8"/>
  <c r="AE752" i="8" s="1"/>
  <c r="W752" i="8"/>
  <c r="Y751" i="8"/>
  <c r="X751" i="8"/>
  <c r="AE751" i="8" s="1"/>
  <c r="W751" i="8"/>
  <c r="Y750" i="8"/>
  <c r="X750" i="8"/>
  <c r="AE750" i="8" s="1"/>
  <c r="W750" i="8"/>
  <c r="Y749" i="8"/>
  <c r="X749" i="8"/>
  <c r="AE749" i="8" s="1"/>
  <c r="W749" i="8"/>
  <c r="Y747" i="8"/>
  <c r="X747" i="8"/>
  <c r="AE748" i="8" s="1"/>
  <c r="W747" i="8"/>
  <c r="O747" i="8"/>
  <c r="K747" i="8"/>
  <c r="I747" i="8" s="1"/>
  <c r="Y588" i="8"/>
  <c r="X588" i="8"/>
  <c r="AE588" i="8" s="1"/>
  <c r="W588" i="8"/>
  <c r="Y587" i="8"/>
  <c r="X587" i="8"/>
  <c r="AE587" i="8" s="1"/>
  <c r="W587" i="8"/>
  <c r="Y586" i="8"/>
  <c r="X586" i="8"/>
  <c r="AE586" i="8" s="1"/>
  <c r="W586" i="8"/>
  <c r="Y585" i="8"/>
  <c r="X585" i="8"/>
  <c r="AE585" i="8" s="1"/>
  <c r="W585" i="8"/>
  <c r="Y583" i="8"/>
  <c r="X583" i="8"/>
  <c r="AE584" i="8" s="1"/>
  <c r="W583" i="8"/>
  <c r="O583" i="8"/>
  <c r="K583" i="8"/>
  <c r="I583" i="8" s="1"/>
  <c r="Y424" i="8"/>
  <c r="X424" i="8"/>
  <c r="AE424" i="8" s="1"/>
  <c r="W424" i="8"/>
  <c r="Y423" i="8"/>
  <c r="X423" i="8"/>
  <c r="AE423" i="8" s="1"/>
  <c r="W423" i="8"/>
  <c r="Y422" i="8"/>
  <c r="X422" i="8"/>
  <c r="AE422" i="8" s="1"/>
  <c r="W422" i="8"/>
  <c r="Y421" i="8"/>
  <c r="X421" i="8"/>
  <c r="AE421" i="8" s="1"/>
  <c r="W421" i="8"/>
  <c r="Y419" i="8"/>
  <c r="X419" i="8"/>
  <c r="AE420" i="8" s="1"/>
  <c r="W419" i="8"/>
  <c r="O419" i="8"/>
  <c r="K419" i="8"/>
  <c r="I419" i="8" s="1"/>
  <c r="V424" i="8" s="1"/>
  <c r="Y327" i="8"/>
  <c r="X327" i="8"/>
  <c r="AE327" i="8" s="1"/>
  <c r="W327" i="8"/>
  <c r="Y326" i="8"/>
  <c r="X326" i="8"/>
  <c r="AE326" i="8" s="1"/>
  <c r="W326" i="8"/>
  <c r="Y325" i="8"/>
  <c r="X325" i="8"/>
  <c r="AE325" i="8" s="1"/>
  <c r="W325" i="8"/>
  <c r="Y324" i="8"/>
  <c r="X324" i="8"/>
  <c r="AE324" i="8" s="1"/>
  <c r="W324" i="8"/>
  <c r="Y322" i="8"/>
  <c r="X322" i="8"/>
  <c r="AE322" i="8" s="1"/>
  <c r="W322" i="8"/>
  <c r="O322" i="8"/>
  <c r="K322" i="8"/>
  <c r="I322" i="8" s="1"/>
  <c r="V327" i="8" s="1"/>
  <c r="Y218" i="8"/>
  <c r="X218" i="8"/>
  <c r="AE218" i="8" s="1"/>
  <c r="W218" i="8"/>
  <c r="Y217" i="8"/>
  <c r="X217" i="8"/>
  <c r="AE217" i="8" s="1"/>
  <c r="W217" i="8"/>
  <c r="Y216" i="8"/>
  <c r="X216" i="8"/>
  <c r="AE216" i="8" s="1"/>
  <c r="W216" i="8"/>
  <c r="Y215" i="8"/>
  <c r="X215" i="8"/>
  <c r="AE215" i="8" s="1"/>
  <c r="W215" i="8"/>
  <c r="Y213" i="8"/>
  <c r="X213" i="8"/>
  <c r="AE213" i="8" s="1"/>
  <c r="W213" i="8"/>
  <c r="O213" i="8"/>
  <c r="K213" i="8"/>
  <c r="I213" i="8" s="1"/>
  <c r="Y109" i="8"/>
  <c r="X109" i="8"/>
  <c r="AE109" i="8" s="1"/>
  <c r="W109" i="8"/>
  <c r="Y108" i="8"/>
  <c r="X108" i="8"/>
  <c r="AE108" i="8" s="1"/>
  <c r="W108" i="8"/>
  <c r="Y107" i="8"/>
  <c r="X107" i="8"/>
  <c r="AE107" i="8" s="1"/>
  <c r="W107" i="8"/>
  <c r="Y106" i="8"/>
  <c r="X106" i="8"/>
  <c r="AE106" i="8" s="1"/>
  <c r="W106" i="8"/>
  <c r="Y104" i="8"/>
  <c r="X104" i="8"/>
  <c r="AE104" i="8" s="1"/>
  <c r="W104" i="8"/>
  <c r="O104" i="8"/>
  <c r="K104" i="8"/>
  <c r="I104" i="8" s="1"/>
  <c r="Y212" i="8"/>
  <c r="X212" i="8"/>
  <c r="AE212" i="8" s="1"/>
  <c r="W212" i="8"/>
  <c r="Y211" i="8"/>
  <c r="X211" i="8"/>
  <c r="AE211" i="8" s="1"/>
  <c r="W211" i="8"/>
  <c r="Y210" i="8"/>
  <c r="X210" i="8"/>
  <c r="AE210" i="8" s="1"/>
  <c r="W210" i="8"/>
  <c r="Y209" i="8"/>
  <c r="X209" i="8"/>
  <c r="AE209" i="8" s="1"/>
  <c r="W209" i="8"/>
  <c r="Y207" i="8"/>
  <c r="X207" i="8"/>
  <c r="AE208" i="8" s="1"/>
  <c r="W207" i="8"/>
  <c r="O207" i="8"/>
  <c r="K207" i="8"/>
  <c r="I207" i="8" s="1"/>
  <c r="V212" i="8" s="1"/>
  <c r="Y321" i="8"/>
  <c r="X321" i="8"/>
  <c r="AE321" i="8" s="1"/>
  <c r="W321" i="8"/>
  <c r="Y320" i="8"/>
  <c r="X320" i="8"/>
  <c r="AE320" i="8" s="1"/>
  <c r="W320" i="8"/>
  <c r="Y319" i="8"/>
  <c r="X319" i="8"/>
  <c r="AE319" i="8" s="1"/>
  <c r="W319" i="8"/>
  <c r="Y318" i="8"/>
  <c r="X318" i="8"/>
  <c r="AE318" i="8" s="1"/>
  <c r="W318" i="8"/>
  <c r="Y316" i="8"/>
  <c r="X316" i="8"/>
  <c r="AE317" i="8" s="1"/>
  <c r="W316" i="8"/>
  <c r="O316" i="8"/>
  <c r="K316" i="8"/>
  <c r="I316" i="8" s="1"/>
  <c r="Y206" i="8"/>
  <c r="X206" i="8"/>
  <c r="AE206" i="8" s="1"/>
  <c r="W206" i="8"/>
  <c r="Y205" i="8"/>
  <c r="X205" i="8"/>
  <c r="AE205" i="8" s="1"/>
  <c r="W205" i="8"/>
  <c r="Y204" i="8"/>
  <c r="X204" i="8"/>
  <c r="AE204" i="8" s="1"/>
  <c r="W204" i="8"/>
  <c r="Y203" i="8"/>
  <c r="X203" i="8"/>
  <c r="AE203" i="8" s="1"/>
  <c r="W203" i="8"/>
  <c r="Y201" i="8"/>
  <c r="X201" i="8"/>
  <c r="AE201" i="8" s="1"/>
  <c r="W201" i="8"/>
  <c r="O201" i="8"/>
  <c r="K201" i="8"/>
  <c r="I201" i="8" s="1"/>
  <c r="Y103" i="8"/>
  <c r="X103" i="8"/>
  <c r="AE103" i="8" s="1"/>
  <c r="W103" i="8"/>
  <c r="Y102" i="8"/>
  <c r="X102" i="8"/>
  <c r="AE102" i="8" s="1"/>
  <c r="W102" i="8"/>
  <c r="Y101" i="8"/>
  <c r="X101" i="8"/>
  <c r="AE101" i="8" s="1"/>
  <c r="W101" i="8"/>
  <c r="Y100" i="8"/>
  <c r="X100" i="8"/>
  <c r="AE100" i="8" s="1"/>
  <c r="W100" i="8"/>
  <c r="Y98" i="8"/>
  <c r="X98" i="8"/>
  <c r="AE98" i="8" s="1"/>
  <c r="W98" i="8"/>
  <c r="O98" i="8"/>
  <c r="K98" i="8"/>
  <c r="I98" i="8" s="1"/>
  <c r="Y1196" i="8"/>
  <c r="X1196" i="8"/>
  <c r="AE1196" i="8" s="1"/>
  <c r="W1196" i="8"/>
  <c r="Y1195" i="8"/>
  <c r="X1195" i="8"/>
  <c r="AE1195" i="8" s="1"/>
  <c r="W1195" i="8"/>
  <c r="Y1194" i="8"/>
  <c r="X1194" i="8"/>
  <c r="AE1194" i="8" s="1"/>
  <c r="W1194" i="8"/>
  <c r="Y1193" i="8"/>
  <c r="X1193" i="8"/>
  <c r="AE1193" i="8" s="1"/>
  <c r="W1193" i="8"/>
  <c r="Y1191" i="8"/>
  <c r="X1191" i="8"/>
  <c r="AE1191" i="8" s="1"/>
  <c r="W1191" i="8"/>
  <c r="O1191" i="8"/>
  <c r="K1191" i="8"/>
  <c r="I1191" i="8" s="1"/>
  <c r="Y1135" i="8"/>
  <c r="X1135" i="8"/>
  <c r="AE1135" i="8" s="1"/>
  <c r="W1135" i="8"/>
  <c r="Y1134" i="8"/>
  <c r="X1134" i="8"/>
  <c r="AE1134" i="8" s="1"/>
  <c r="W1134" i="8"/>
  <c r="Y1133" i="8"/>
  <c r="X1133" i="8"/>
  <c r="AE1133" i="8" s="1"/>
  <c r="W1133" i="8"/>
  <c r="Y1132" i="8"/>
  <c r="X1132" i="8"/>
  <c r="AE1132" i="8" s="1"/>
  <c r="W1132" i="8"/>
  <c r="Y1130" i="8"/>
  <c r="X1130" i="8"/>
  <c r="AE1131" i="8" s="1"/>
  <c r="W1130" i="8"/>
  <c r="O1130" i="8"/>
  <c r="K1130" i="8"/>
  <c r="I1130" i="8" s="1"/>
  <c r="V1135" i="8" s="1"/>
  <c r="Y1062" i="8"/>
  <c r="X1062" i="8"/>
  <c r="AE1062" i="8" s="1"/>
  <c r="W1062" i="8"/>
  <c r="Y1061" i="8"/>
  <c r="X1061" i="8"/>
  <c r="AE1061" i="8" s="1"/>
  <c r="W1061" i="8"/>
  <c r="Y1060" i="8"/>
  <c r="X1060" i="8"/>
  <c r="AE1060" i="8" s="1"/>
  <c r="W1060" i="8"/>
  <c r="Y1059" i="8"/>
  <c r="X1059" i="8"/>
  <c r="AE1059" i="8" s="1"/>
  <c r="W1059" i="8"/>
  <c r="Y1057" i="8"/>
  <c r="X1057" i="8"/>
  <c r="AE1057" i="8" s="1"/>
  <c r="W1057" i="8"/>
  <c r="O1057" i="8"/>
  <c r="K1057" i="8"/>
  <c r="I1057" i="8" s="1"/>
  <c r="Y971" i="8"/>
  <c r="X971" i="8"/>
  <c r="AE971" i="8" s="1"/>
  <c r="W971" i="8"/>
  <c r="Y970" i="8"/>
  <c r="X970" i="8"/>
  <c r="AE970" i="8" s="1"/>
  <c r="W970" i="8"/>
  <c r="Y969" i="8"/>
  <c r="X969" i="8"/>
  <c r="AE969" i="8" s="1"/>
  <c r="W969" i="8"/>
  <c r="Y968" i="8"/>
  <c r="X968" i="8"/>
  <c r="AE968" i="8" s="1"/>
  <c r="W968" i="8"/>
  <c r="Y966" i="8"/>
  <c r="X966" i="8"/>
  <c r="AE966" i="8" s="1"/>
  <c r="W966" i="8"/>
  <c r="O966" i="8"/>
  <c r="K966" i="8"/>
  <c r="I966" i="8" s="1"/>
  <c r="Y910" i="8"/>
  <c r="X910" i="8"/>
  <c r="AE910" i="8" s="1"/>
  <c r="W910" i="8"/>
  <c r="Y909" i="8"/>
  <c r="X909" i="8"/>
  <c r="AE909" i="8" s="1"/>
  <c r="W909" i="8"/>
  <c r="Y908" i="8"/>
  <c r="X908" i="8"/>
  <c r="AE908" i="8" s="1"/>
  <c r="W908" i="8"/>
  <c r="Y907" i="8"/>
  <c r="X907" i="8"/>
  <c r="AE907" i="8" s="1"/>
  <c r="W907" i="8"/>
  <c r="Y905" i="8"/>
  <c r="X905" i="8"/>
  <c r="AE906" i="8" s="1"/>
  <c r="W905" i="8"/>
  <c r="O905" i="8"/>
  <c r="K905" i="8"/>
  <c r="I905" i="8" s="1"/>
  <c r="Y837" i="8"/>
  <c r="X837" i="8"/>
  <c r="AE837" i="8" s="1"/>
  <c r="W837" i="8"/>
  <c r="Y836" i="8"/>
  <c r="X836" i="8"/>
  <c r="AE836" i="8" s="1"/>
  <c r="W836" i="8"/>
  <c r="Y835" i="8"/>
  <c r="X835" i="8"/>
  <c r="AE835" i="8" s="1"/>
  <c r="W835" i="8"/>
  <c r="Y834" i="8"/>
  <c r="X834" i="8"/>
  <c r="AE834" i="8" s="1"/>
  <c r="W834" i="8"/>
  <c r="Y832" i="8"/>
  <c r="X832" i="8"/>
  <c r="AE833" i="8" s="1"/>
  <c r="W832" i="8"/>
  <c r="O832" i="8"/>
  <c r="K832" i="8"/>
  <c r="I832" i="8" s="1"/>
  <c r="Y746" i="8"/>
  <c r="X746" i="8"/>
  <c r="AE746" i="8" s="1"/>
  <c r="W746" i="8"/>
  <c r="Y745" i="8"/>
  <c r="X745" i="8"/>
  <c r="AE745" i="8" s="1"/>
  <c r="W745" i="8"/>
  <c r="Y744" i="8"/>
  <c r="X744" i="8"/>
  <c r="AE744" i="8" s="1"/>
  <c r="W744" i="8"/>
  <c r="Y743" i="8"/>
  <c r="X743" i="8"/>
  <c r="AE743" i="8" s="1"/>
  <c r="W743" i="8"/>
  <c r="Y741" i="8"/>
  <c r="X741" i="8"/>
  <c r="AE742" i="8" s="1"/>
  <c r="W741" i="8"/>
  <c r="O741" i="8"/>
  <c r="K741" i="8"/>
  <c r="I741" i="8" s="1"/>
  <c r="Y673" i="8"/>
  <c r="X673" i="8"/>
  <c r="AE673" i="8" s="1"/>
  <c r="W673" i="8"/>
  <c r="Y672" i="8"/>
  <c r="X672" i="8"/>
  <c r="AE672" i="8" s="1"/>
  <c r="W672" i="8"/>
  <c r="Y671" i="8"/>
  <c r="X671" i="8"/>
  <c r="AE671" i="8" s="1"/>
  <c r="W671" i="8"/>
  <c r="Y670" i="8"/>
  <c r="X670" i="8"/>
  <c r="AE670" i="8" s="1"/>
  <c r="W670" i="8"/>
  <c r="Y668" i="8"/>
  <c r="X668" i="8"/>
  <c r="AE669" i="8" s="1"/>
  <c r="W668" i="8"/>
  <c r="O668" i="8"/>
  <c r="K668" i="8"/>
  <c r="I668" i="8" s="1"/>
  <c r="V673" i="8" s="1"/>
  <c r="Y582" i="8"/>
  <c r="X582" i="8"/>
  <c r="AE582" i="8" s="1"/>
  <c r="W582" i="8"/>
  <c r="Y581" i="8"/>
  <c r="X581" i="8"/>
  <c r="AE581" i="8" s="1"/>
  <c r="W581" i="8"/>
  <c r="Y580" i="8"/>
  <c r="X580" i="8"/>
  <c r="AE580" i="8" s="1"/>
  <c r="W580" i="8"/>
  <c r="Y579" i="8"/>
  <c r="X579" i="8"/>
  <c r="AE579" i="8" s="1"/>
  <c r="W579" i="8"/>
  <c r="Y577" i="8"/>
  <c r="X577" i="8"/>
  <c r="AE578" i="8" s="1"/>
  <c r="W577" i="8"/>
  <c r="O577" i="8"/>
  <c r="K577" i="8"/>
  <c r="I577" i="8" s="1"/>
  <c r="Y509" i="8"/>
  <c r="X509" i="8"/>
  <c r="AE509" i="8" s="1"/>
  <c r="W509" i="8"/>
  <c r="Y508" i="8"/>
  <c r="X508" i="8"/>
  <c r="AE508" i="8" s="1"/>
  <c r="W508" i="8"/>
  <c r="Y507" i="8"/>
  <c r="X507" i="8"/>
  <c r="AE507" i="8" s="1"/>
  <c r="W507" i="8"/>
  <c r="Y506" i="8"/>
  <c r="X506" i="8"/>
  <c r="AE506" i="8" s="1"/>
  <c r="W506" i="8"/>
  <c r="Y504" i="8"/>
  <c r="X504" i="8"/>
  <c r="AE505" i="8" s="1"/>
  <c r="W504" i="8"/>
  <c r="O504" i="8"/>
  <c r="K504" i="8"/>
  <c r="I504" i="8" s="1"/>
  <c r="Y418" i="8"/>
  <c r="X418" i="8"/>
  <c r="AE418" i="8" s="1"/>
  <c r="W418" i="8"/>
  <c r="Y417" i="8"/>
  <c r="X417" i="8"/>
  <c r="AE417" i="8" s="1"/>
  <c r="W417" i="8"/>
  <c r="Y416" i="8"/>
  <c r="X416" i="8"/>
  <c r="AE416" i="8" s="1"/>
  <c r="W416" i="8"/>
  <c r="Y415" i="8"/>
  <c r="X415" i="8"/>
  <c r="AE415" i="8" s="1"/>
  <c r="W415" i="8"/>
  <c r="Y413" i="8"/>
  <c r="X413" i="8"/>
  <c r="AE414" i="8" s="1"/>
  <c r="W413" i="8"/>
  <c r="O413" i="8"/>
  <c r="K413" i="8"/>
  <c r="I413" i="8" s="1"/>
  <c r="Y315" i="8"/>
  <c r="X315" i="8"/>
  <c r="AE315" i="8" s="1"/>
  <c r="W315" i="8"/>
  <c r="Y314" i="8"/>
  <c r="X314" i="8"/>
  <c r="AE314" i="8" s="1"/>
  <c r="W314" i="8"/>
  <c r="Y313" i="8"/>
  <c r="X313" i="8"/>
  <c r="AE313" i="8" s="1"/>
  <c r="W313" i="8"/>
  <c r="Y312" i="8"/>
  <c r="X312" i="8"/>
  <c r="AE312" i="8" s="1"/>
  <c r="W312" i="8"/>
  <c r="Y310" i="8"/>
  <c r="X310" i="8"/>
  <c r="AE311" i="8" s="1"/>
  <c r="W310" i="8"/>
  <c r="O310" i="8"/>
  <c r="K310" i="8"/>
  <c r="I310" i="8" s="1"/>
  <c r="Y200" i="8"/>
  <c r="X200" i="8"/>
  <c r="AE200" i="8" s="1"/>
  <c r="W200" i="8"/>
  <c r="Y199" i="8"/>
  <c r="X199" i="8"/>
  <c r="AE199" i="8" s="1"/>
  <c r="W199" i="8"/>
  <c r="Y198" i="8"/>
  <c r="X198" i="8"/>
  <c r="AE198" i="8" s="1"/>
  <c r="W198" i="8"/>
  <c r="Y197" i="8"/>
  <c r="X197" i="8"/>
  <c r="AE197" i="8" s="1"/>
  <c r="W197" i="8"/>
  <c r="Y195" i="8"/>
  <c r="X195" i="8"/>
  <c r="AE195" i="8" s="1"/>
  <c r="W195" i="8"/>
  <c r="O195" i="8"/>
  <c r="K195" i="8"/>
  <c r="I195" i="8" s="1"/>
  <c r="V200" i="8" s="1"/>
  <c r="Y97" i="8"/>
  <c r="X97" i="8"/>
  <c r="AE97" i="8" s="1"/>
  <c r="W97" i="8"/>
  <c r="Y96" i="8"/>
  <c r="X96" i="8"/>
  <c r="AE96" i="8" s="1"/>
  <c r="W96" i="8"/>
  <c r="Y95" i="8"/>
  <c r="X95" i="8"/>
  <c r="AE95" i="8" s="1"/>
  <c r="W95" i="8"/>
  <c r="Y94" i="8"/>
  <c r="X94" i="8"/>
  <c r="AE94" i="8" s="1"/>
  <c r="W94" i="8"/>
  <c r="Y92" i="8"/>
  <c r="X92" i="8"/>
  <c r="AE93" i="8" s="1"/>
  <c r="W92" i="8"/>
  <c r="O92" i="8"/>
  <c r="K92" i="8"/>
  <c r="I92" i="8" s="1"/>
  <c r="Y1190" i="8"/>
  <c r="X1190" i="8"/>
  <c r="AE1190" i="8" s="1"/>
  <c r="W1190" i="8"/>
  <c r="Y1189" i="8"/>
  <c r="X1189" i="8"/>
  <c r="AE1189" i="8" s="1"/>
  <c r="W1189" i="8"/>
  <c r="Y1188" i="8"/>
  <c r="X1188" i="8"/>
  <c r="AE1188" i="8" s="1"/>
  <c r="W1188" i="8"/>
  <c r="Y1187" i="8"/>
  <c r="X1187" i="8"/>
  <c r="AE1187" i="8" s="1"/>
  <c r="W1187" i="8"/>
  <c r="Y1185" i="8"/>
  <c r="X1185" i="8"/>
  <c r="AE1186" i="8" s="1"/>
  <c r="W1185" i="8"/>
  <c r="O1185" i="8"/>
  <c r="K1185" i="8"/>
  <c r="I1185" i="8" s="1"/>
  <c r="Y1129" i="8"/>
  <c r="X1129" i="8"/>
  <c r="AE1129" i="8" s="1"/>
  <c r="W1129" i="8"/>
  <c r="Y1128" i="8"/>
  <c r="X1128" i="8"/>
  <c r="AE1128" i="8" s="1"/>
  <c r="W1128" i="8"/>
  <c r="Y1127" i="8"/>
  <c r="X1127" i="8"/>
  <c r="AE1127" i="8" s="1"/>
  <c r="W1127" i="8"/>
  <c r="Y1126" i="8"/>
  <c r="X1126" i="8"/>
  <c r="AE1126" i="8" s="1"/>
  <c r="W1126" i="8"/>
  <c r="Y1124" i="8"/>
  <c r="X1124" i="8"/>
  <c r="AE1125" i="8" s="1"/>
  <c r="W1124" i="8"/>
  <c r="O1124" i="8"/>
  <c r="K1124" i="8"/>
  <c r="I1124" i="8" s="1"/>
  <c r="Y1056" i="8"/>
  <c r="X1056" i="8"/>
  <c r="AE1056" i="8" s="1"/>
  <c r="W1056" i="8"/>
  <c r="Y1055" i="8"/>
  <c r="X1055" i="8"/>
  <c r="AE1055" i="8" s="1"/>
  <c r="W1055" i="8"/>
  <c r="Y1054" i="8"/>
  <c r="X1054" i="8"/>
  <c r="AE1054" i="8" s="1"/>
  <c r="W1054" i="8"/>
  <c r="Y1053" i="8"/>
  <c r="X1053" i="8"/>
  <c r="AE1053" i="8" s="1"/>
  <c r="W1053" i="8"/>
  <c r="Y1051" i="8"/>
  <c r="X1051" i="8"/>
  <c r="AE1052" i="8" s="1"/>
  <c r="W1051" i="8"/>
  <c r="O1051" i="8"/>
  <c r="K1051" i="8"/>
  <c r="I1051" i="8" s="1"/>
  <c r="Y965" i="8"/>
  <c r="X965" i="8"/>
  <c r="AE965" i="8" s="1"/>
  <c r="W965" i="8"/>
  <c r="Y964" i="8"/>
  <c r="X964" i="8"/>
  <c r="AE964" i="8" s="1"/>
  <c r="W964" i="8"/>
  <c r="Y963" i="8"/>
  <c r="X963" i="8"/>
  <c r="AE963" i="8" s="1"/>
  <c r="W963" i="8"/>
  <c r="Y962" i="8"/>
  <c r="X962" i="8"/>
  <c r="AE962" i="8" s="1"/>
  <c r="W962" i="8"/>
  <c r="Y960" i="8"/>
  <c r="X960" i="8"/>
  <c r="AE960" i="8" s="1"/>
  <c r="W960" i="8"/>
  <c r="O960" i="8"/>
  <c r="K960" i="8"/>
  <c r="I960" i="8" s="1"/>
  <c r="V965" i="8" s="1"/>
  <c r="Y904" i="8"/>
  <c r="X904" i="8"/>
  <c r="AE904" i="8" s="1"/>
  <c r="W904" i="8"/>
  <c r="Y903" i="8"/>
  <c r="X903" i="8"/>
  <c r="AE903" i="8" s="1"/>
  <c r="W903" i="8"/>
  <c r="Y902" i="8"/>
  <c r="X902" i="8"/>
  <c r="AE902" i="8" s="1"/>
  <c r="W902" i="8"/>
  <c r="Y901" i="8"/>
  <c r="X901" i="8"/>
  <c r="AE901" i="8" s="1"/>
  <c r="W901" i="8"/>
  <c r="Y899" i="8"/>
  <c r="X899" i="8"/>
  <c r="AE900" i="8" s="1"/>
  <c r="W899" i="8"/>
  <c r="O899" i="8"/>
  <c r="K899" i="8"/>
  <c r="I899" i="8" s="1"/>
  <c r="Y831" i="8"/>
  <c r="X831" i="8"/>
  <c r="AE831" i="8" s="1"/>
  <c r="W831" i="8"/>
  <c r="Y830" i="8"/>
  <c r="X830" i="8"/>
  <c r="AE830" i="8" s="1"/>
  <c r="W830" i="8"/>
  <c r="Y829" i="8"/>
  <c r="X829" i="8"/>
  <c r="AE829" i="8" s="1"/>
  <c r="W829" i="8"/>
  <c r="Y828" i="8"/>
  <c r="X828" i="8"/>
  <c r="AE828" i="8" s="1"/>
  <c r="W828" i="8"/>
  <c r="Y826" i="8"/>
  <c r="X826" i="8"/>
  <c r="AE826" i="8" s="1"/>
  <c r="W826" i="8"/>
  <c r="O826" i="8"/>
  <c r="K826" i="8"/>
  <c r="I826" i="8" s="1"/>
  <c r="V831" i="8" s="1"/>
  <c r="Y740" i="8"/>
  <c r="X740" i="8"/>
  <c r="AE740" i="8" s="1"/>
  <c r="W740" i="8"/>
  <c r="Y739" i="8"/>
  <c r="X739" i="8"/>
  <c r="AE739" i="8" s="1"/>
  <c r="W739" i="8"/>
  <c r="Y738" i="8"/>
  <c r="X738" i="8"/>
  <c r="AE738" i="8" s="1"/>
  <c r="W738" i="8"/>
  <c r="Y737" i="8"/>
  <c r="X737" i="8"/>
  <c r="AE737" i="8" s="1"/>
  <c r="W737" i="8"/>
  <c r="Y735" i="8"/>
  <c r="X735" i="8"/>
  <c r="AE735" i="8" s="1"/>
  <c r="W735" i="8"/>
  <c r="O735" i="8"/>
  <c r="K735" i="8"/>
  <c r="I735" i="8" s="1"/>
  <c r="Y667" i="8"/>
  <c r="X667" i="8"/>
  <c r="AE667" i="8" s="1"/>
  <c r="W667" i="8"/>
  <c r="Y666" i="8"/>
  <c r="X666" i="8"/>
  <c r="AE666" i="8" s="1"/>
  <c r="W666" i="8"/>
  <c r="Y665" i="8"/>
  <c r="X665" i="8"/>
  <c r="AE665" i="8" s="1"/>
  <c r="W665" i="8"/>
  <c r="Y664" i="8"/>
  <c r="X664" i="8"/>
  <c r="AE664" i="8" s="1"/>
  <c r="W664" i="8"/>
  <c r="Y662" i="8"/>
  <c r="X662" i="8"/>
  <c r="AE663" i="8" s="1"/>
  <c r="W662" i="8"/>
  <c r="O662" i="8"/>
  <c r="K662" i="8"/>
  <c r="I662" i="8" s="1"/>
  <c r="Y576" i="8"/>
  <c r="X576" i="8"/>
  <c r="AE576" i="8" s="1"/>
  <c r="W576" i="8"/>
  <c r="Y575" i="8"/>
  <c r="X575" i="8"/>
  <c r="AE575" i="8" s="1"/>
  <c r="W575" i="8"/>
  <c r="Y574" i="8"/>
  <c r="X574" i="8"/>
  <c r="AE574" i="8" s="1"/>
  <c r="W574" i="8"/>
  <c r="Y573" i="8"/>
  <c r="X573" i="8"/>
  <c r="AE573" i="8" s="1"/>
  <c r="W573" i="8"/>
  <c r="Y571" i="8"/>
  <c r="X571" i="8"/>
  <c r="AE571" i="8" s="1"/>
  <c r="W571" i="8"/>
  <c r="O571" i="8"/>
  <c r="K571" i="8"/>
  <c r="I571" i="8" s="1"/>
  <c r="Y503" i="8"/>
  <c r="X503" i="8"/>
  <c r="AE503" i="8" s="1"/>
  <c r="W503" i="8"/>
  <c r="Y502" i="8"/>
  <c r="X502" i="8"/>
  <c r="AE502" i="8" s="1"/>
  <c r="W502" i="8"/>
  <c r="Y501" i="8"/>
  <c r="X501" i="8"/>
  <c r="AE501" i="8" s="1"/>
  <c r="W501" i="8"/>
  <c r="Y500" i="8"/>
  <c r="X500" i="8"/>
  <c r="AE500" i="8" s="1"/>
  <c r="W500" i="8"/>
  <c r="Y498" i="8"/>
  <c r="X498" i="8"/>
  <c r="AE499" i="8" s="1"/>
  <c r="W498" i="8"/>
  <c r="O498" i="8"/>
  <c r="K498" i="8"/>
  <c r="I498" i="8" s="1"/>
  <c r="Y412" i="8"/>
  <c r="X412" i="8"/>
  <c r="AE412" i="8" s="1"/>
  <c r="W412" i="8"/>
  <c r="Y411" i="8"/>
  <c r="X411" i="8"/>
  <c r="AE411" i="8" s="1"/>
  <c r="W411" i="8"/>
  <c r="Y410" i="8"/>
  <c r="X410" i="8"/>
  <c r="AE410" i="8" s="1"/>
  <c r="W410" i="8"/>
  <c r="Y409" i="8"/>
  <c r="X409" i="8"/>
  <c r="AE409" i="8" s="1"/>
  <c r="W409" i="8"/>
  <c r="Y407" i="8"/>
  <c r="X407" i="8"/>
  <c r="AE408" i="8" s="1"/>
  <c r="W407" i="8"/>
  <c r="O407" i="8"/>
  <c r="K407" i="8"/>
  <c r="I407" i="8" s="1"/>
  <c r="V412" i="8" s="1"/>
  <c r="Y309" i="8"/>
  <c r="X309" i="8"/>
  <c r="AE309" i="8" s="1"/>
  <c r="W309" i="8"/>
  <c r="Y308" i="8"/>
  <c r="X308" i="8"/>
  <c r="AE308" i="8" s="1"/>
  <c r="W308" i="8"/>
  <c r="Y307" i="8"/>
  <c r="X307" i="8"/>
  <c r="AE307" i="8" s="1"/>
  <c r="W307" i="8"/>
  <c r="Y306" i="8"/>
  <c r="X306" i="8"/>
  <c r="AE306" i="8" s="1"/>
  <c r="W306" i="8"/>
  <c r="Y304" i="8"/>
  <c r="X304" i="8"/>
  <c r="AE305" i="8" s="1"/>
  <c r="W304" i="8"/>
  <c r="O304" i="8"/>
  <c r="K304" i="8"/>
  <c r="I304" i="8" s="1"/>
  <c r="Y194" i="8"/>
  <c r="X194" i="8"/>
  <c r="AE194" i="8" s="1"/>
  <c r="W194" i="8"/>
  <c r="Y193" i="8"/>
  <c r="X193" i="8"/>
  <c r="AE193" i="8" s="1"/>
  <c r="W193" i="8"/>
  <c r="Y192" i="8"/>
  <c r="X192" i="8"/>
  <c r="AE192" i="8" s="1"/>
  <c r="W192" i="8"/>
  <c r="Y191" i="8"/>
  <c r="X191" i="8"/>
  <c r="AE191" i="8" s="1"/>
  <c r="W191" i="8"/>
  <c r="Y189" i="8"/>
  <c r="X189" i="8"/>
  <c r="AE189" i="8" s="1"/>
  <c r="W189" i="8"/>
  <c r="O189" i="8"/>
  <c r="K189" i="8"/>
  <c r="I189" i="8" s="1"/>
  <c r="V194" i="8" s="1"/>
  <c r="Y91" i="8"/>
  <c r="X91" i="8"/>
  <c r="AE91" i="8" s="1"/>
  <c r="W91" i="8"/>
  <c r="Y90" i="8"/>
  <c r="X90" i="8"/>
  <c r="AE90" i="8" s="1"/>
  <c r="W90" i="8"/>
  <c r="Y89" i="8"/>
  <c r="X89" i="8"/>
  <c r="AE89" i="8" s="1"/>
  <c r="W89" i="8"/>
  <c r="Y88" i="8"/>
  <c r="X88" i="8"/>
  <c r="AE88" i="8" s="1"/>
  <c r="W88" i="8"/>
  <c r="Y86" i="8"/>
  <c r="X86" i="8"/>
  <c r="AE87" i="8" s="1"/>
  <c r="W86" i="8"/>
  <c r="O86" i="8"/>
  <c r="K86" i="8"/>
  <c r="I86" i="8" s="1"/>
  <c r="Y1184" i="8"/>
  <c r="X1184" i="8"/>
  <c r="AE1184" i="8" s="1"/>
  <c r="W1184" i="8"/>
  <c r="Y1183" i="8"/>
  <c r="X1183" i="8"/>
  <c r="AE1183" i="8" s="1"/>
  <c r="W1183" i="8"/>
  <c r="Y1182" i="8"/>
  <c r="X1182" i="8"/>
  <c r="AE1182" i="8" s="1"/>
  <c r="W1182" i="8"/>
  <c r="Y1181" i="8"/>
  <c r="X1181" i="8"/>
  <c r="AE1181" i="8" s="1"/>
  <c r="W1181" i="8"/>
  <c r="Y1179" i="8"/>
  <c r="X1179" i="8"/>
  <c r="AE1179" i="8" s="1"/>
  <c r="W1179" i="8"/>
  <c r="O1179" i="8"/>
  <c r="K1179" i="8"/>
  <c r="I1179" i="8" s="1"/>
  <c r="Y1123" i="8"/>
  <c r="X1123" i="8"/>
  <c r="AE1123" i="8" s="1"/>
  <c r="W1123" i="8"/>
  <c r="Y1122" i="8"/>
  <c r="X1122" i="8"/>
  <c r="AE1122" i="8" s="1"/>
  <c r="W1122" i="8"/>
  <c r="Y1121" i="8"/>
  <c r="X1121" i="8"/>
  <c r="AE1121" i="8" s="1"/>
  <c r="W1121" i="8"/>
  <c r="Y1120" i="8"/>
  <c r="X1120" i="8"/>
  <c r="AE1120" i="8" s="1"/>
  <c r="W1120" i="8"/>
  <c r="Y1118" i="8"/>
  <c r="X1118" i="8"/>
  <c r="AE1118" i="8" s="1"/>
  <c r="W1118" i="8"/>
  <c r="O1118" i="8"/>
  <c r="K1118" i="8"/>
  <c r="I1118" i="8" s="1"/>
  <c r="Y1050" i="8"/>
  <c r="X1050" i="8"/>
  <c r="AE1050" i="8" s="1"/>
  <c r="W1050" i="8"/>
  <c r="Y1049" i="8"/>
  <c r="X1049" i="8"/>
  <c r="AE1049" i="8" s="1"/>
  <c r="W1049" i="8"/>
  <c r="Y1048" i="8"/>
  <c r="X1048" i="8"/>
  <c r="AE1048" i="8" s="1"/>
  <c r="W1048" i="8"/>
  <c r="Y1047" i="8"/>
  <c r="X1047" i="8"/>
  <c r="AE1047" i="8" s="1"/>
  <c r="W1047" i="8"/>
  <c r="Y1045" i="8"/>
  <c r="X1045" i="8"/>
  <c r="AE1045" i="8" s="1"/>
  <c r="W1045" i="8"/>
  <c r="O1045" i="8"/>
  <c r="K1045" i="8"/>
  <c r="I1045" i="8" s="1"/>
  <c r="Y959" i="8"/>
  <c r="X959" i="8"/>
  <c r="AE959" i="8" s="1"/>
  <c r="W959" i="8"/>
  <c r="Y958" i="8"/>
  <c r="X958" i="8"/>
  <c r="AE958" i="8" s="1"/>
  <c r="W958" i="8"/>
  <c r="Y957" i="8"/>
  <c r="X957" i="8"/>
  <c r="AE957" i="8" s="1"/>
  <c r="W957" i="8"/>
  <c r="Y956" i="8"/>
  <c r="X956" i="8"/>
  <c r="AE956" i="8" s="1"/>
  <c r="W956" i="8"/>
  <c r="Y954" i="8"/>
  <c r="X954" i="8"/>
  <c r="AE954" i="8" s="1"/>
  <c r="W954" i="8"/>
  <c r="O954" i="8"/>
  <c r="K954" i="8"/>
  <c r="I954" i="8" s="1"/>
  <c r="Y898" i="8"/>
  <c r="X898" i="8"/>
  <c r="AE898" i="8" s="1"/>
  <c r="W898" i="8"/>
  <c r="Y897" i="8"/>
  <c r="X897" i="8"/>
  <c r="AE897" i="8" s="1"/>
  <c r="W897" i="8"/>
  <c r="Y896" i="8"/>
  <c r="X896" i="8"/>
  <c r="AE896" i="8" s="1"/>
  <c r="W896" i="8"/>
  <c r="Y895" i="8"/>
  <c r="X895" i="8"/>
  <c r="AE895" i="8" s="1"/>
  <c r="W895" i="8"/>
  <c r="Y893" i="8"/>
  <c r="X893" i="8"/>
  <c r="AE894" i="8" s="1"/>
  <c r="W893" i="8"/>
  <c r="O893" i="8"/>
  <c r="K893" i="8"/>
  <c r="I893" i="8" s="1"/>
  <c r="Y825" i="8"/>
  <c r="X825" i="8"/>
  <c r="AE825" i="8" s="1"/>
  <c r="W825" i="8"/>
  <c r="Y824" i="8"/>
  <c r="X824" i="8"/>
  <c r="AE824" i="8" s="1"/>
  <c r="W824" i="8"/>
  <c r="Y823" i="8"/>
  <c r="X823" i="8"/>
  <c r="AE823" i="8" s="1"/>
  <c r="W823" i="8"/>
  <c r="Y822" i="8"/>
  <c r="X822" i="8"/>
  <c r="AE822" i="8" s="1"/>
  <c r="W822" i="8"/>
  <c r="Y820" i="8"/>
  <c r="X820" i="8"/>
  <c r="AE820" i="8" s="1"/>
  <c r="W820" i="8"/>
  <c r="O820" i="8"/>
  <c r="K820" i="8"/>
  <c r="I820" i="8" s="1"/>
  <c r="Y734" i="8"/>
  <c r="X734" i="8"/>
  <c r="AE734" i="8" s="1"/>
  <c r="W734" i="8"/>
  <c r="Y733" i="8"/>
  <c r="X733" i="8"/>
  <c r="AE733" i="8" s="1"/>
  <c r="W733" i="8"/>
  <c r="Y732" i="8"/>
  <c r="X732" i="8"/>
  <c r="AE732" i="8" s="1"/>
  <c r="W732" i="8"/>
  <c r="Y731" i="8"/>
  <c r="X731" i="8"/>
  <c r="AE731" i="8" s="1"/>
  <c r="W731" i="8"/>
  <c r="Y729" i="8"/>
  <c r="X729" i="8"/>
  <c r="AE729" i="8" s="1"/>
  <c r="W729" i="8"/>
  <c r="O729" i="8"/>
  <c r="K729" i="8"/>
  <c r="I729" i="8" s="1"/>
  <c r="Y661" i="8"/>
  <c r="X661" i="8"/>
  <c r="AE661" i="8" s="1"/>
  <c r="W661" i="8"/>
  <c r="Y660" i="8"/>
  <c r="X660" i="8"/>
  <c r="AE660" i="8" s="1"/>
  <c r="W660" i="8"/>
  <c r="Y659" i="8"/>
  <c r="X659" i="8"/>
  <c r="AE659" i="8" s="1"/>
  <c r="W659" i="8"/>
  <c r="Y658" i="8"/>
  <c r="X658" i="8"/>
  <c r="AE658" i="8" s="1"/>
  <c r="W658" i="8"/>
  <c r="Y656" i="8"/>
  <c r="X656" i="8"/>
  <c r="AE657" i="8" s="1"/>
  <c r="W656" i="8"/>
  <c r="O656" i="8"/>
  <c r="K656" i="8"/>
  <c r="I656" i="8" s="1"/>
  <c r="Y570" i="8"/>
  <c r="X570" i="8"/>
  <c r="AE570" i="8" s="1"/>
  <c r="W570" i="8"/>
  <c r="Y569" i="8"/>
  <c r="X569" i="8"/>
  <c r="AE569" i="8" s="1"/>
  <c r="W569" i="8"/>
  <c r="Y568" i="8"/>
  <c r="X568" i="8"/>
  <c r="AE568" i="8" s="1"/>
  <c r="W568" i="8"/>
  <c r="Y567" i="8"/>
  <c r="X567" i="8"/>
  <c r="AE567" i="8" s="1"/>
  <c r="W567" i="8"/>
  <c r="Y565" i="8"/>
  <c r="X565" i="8"/>
  <c r="AE565" i="8" s="1"/>
  <c r="W565" i="8"/>
  <c r="O565" i="8"/>
  <c r="K565" i="8"/>
  <c r="I565" i="8" s="1"/>
  <c r="V570" i="8" s="1"/>
  <c r="Y497" i="8"/>
  <c r="X497" i="8"/>
  <c r="AE497" i="8" s="1"/>
  <c r="W497" i="8"/>
  <c r="Y496" i="8"/>
  <c r="X496" i="8"/>
  <c r="AE496" i="8" s="1"/>
  <c r="W496" i="8"/>
  <c r="Y495" i="8"/>
  <c r="X495" i="8"/>
  <c r="AE495" i="8" s="1"/>
  <c r="W495" i="8"/>
  <c r="Y494" i="8"/>
  <c r="X494" i="8"/>
  <c r="AE494" i="8" s="1"/>
  <c r="W494" i="8"/>
  <c r="Y492" i="8"/>
  <c r="X492" i="8"/>
  <c r="AE492" i="8" s="1"/>
  <c r="W492" i="8"/>
  <c r="O492" i="8"/>
  <c r="K492" i="8"/>
  <c r="I492" i="8" s="1"/>
  <c r="V497" i="8" s="1"/>
  <c r="Y406" i="8"/>
  <c r="X406" i="8"/>
  <c r="AE406" i="8" s="1"/>
  <c r="W406" i="8"/>
  <c r="Y405" i="8"/>
  <c r="X405" i="8"/>
  <c r="AE405" i="8" s="1"/>
  <c r="W405" i="8"/>
  <c r="Y404" i="8"/>
  <c r="X404" i="8"/>
  <c r="AE404" i="8" s="1"/>
  <c r="W404" i="8"/>
  <c r="Y403" i="8"/>
  <c r="X403" i="8"/>
  <c r="AE403" i="8" s="1"/>
  <c r="W403" i="8"/>
  <c r="Y401" i="8"/>
  <c r="X401" i="8"/>
  <c r="AE402" i="8" s="1"/>
  <c r="W401" i="8"/>
  <c r="O401" i="8"/>
  <c r="K401" i="8"/>
  <c r="I401" i="8" s="1"/>
  <c r="Y303" i="8"/>
  <c r="X303" i="8"/>
  <c r="AE303" i="8" s="1"/>
  <c r="W303" i="8"/>
  <c r="Y302" i="8"/>
  <c r="X302" i="8"/>
  <c r="AE302" i="8" s="1"/>
  <c r="W302" i="8"/>
  <c r="Y301" i="8"/>
  <c r="X301" i="8"/>
  <c r="AE301" i="8" s="1"/>
  <c r="W301" i="8"/>
  <c r="Y300" i="8"/>
  <c r="X300" i="8"/>
  <c r="AE300" i="8" s="1"/>
  <c r="W300" i="8"/>
  <c r="Y298" i="8"/>
  <c r="X298" i="8"/>
  <c r="AE299" i="8" s="1"/>
  <c r="W298" i="8"/>
  <c r="O298" i="8"/>
  <c r="K298" i="8"/>
  <c r="I298" i="8" s="1"/>
  <c r="V303" i="8" s="1"/>
  <c r="Y188" i="8"/>
  <c r="X188" i="8"/>
  <c r="AE188" i="8" s="1"/>
  <c r="W188" i="8"/>
  <c r="Y187" i="8"/>
  <c r="X187" i="8"/>
  <c r="AE187" i="8" s="1"/>
  <c r="W187" i="8"/>
  <c r="Y186" i="8"/>
  <c r="X186" i="8"/>
  <c r="AE186" i="8" s="1"/>
  <c r="W186" i="8"/>
  <c r="Y185" i="8"/>
  <c r="X185" i="8"/>
  <c r="AE185" i="8" s="1"/>
  <c r="W185" i="8"/>
  <c r="Y183" i="8"/>
  <c r="X183" i="8"/>
  <c r="AE184" i="8" s="1"/>
  <c r="W183" i="8"/>
  <c r="O183" i="8"/>
  <c r="K183" i="8"/>
  <c r="I183" i="8" s="1"/>
  <c r="V188" i="8" s="1"/>
  <c r="Y85" i="8"/>
  <c r="X85" i="8"/>
  <c r="AE85" i="8" s="1"/>
  <c r="W85" i="8"/>
  <c r="Y84" i="8"/>
  <c r="X84" i="8"/>
  <c r="AE84" i="8" s="1"/>
  <c r="W84" i="8"/>
  <c r="Y83" i="8"/>
  <c r="X83" i="8"/>
  <c r="AE83" i="8" s="1"/>
  <c r="W83" i="8"/>
  <c r="Y82" i="8"/>
  <c r="X82" i="8"/>
  <c r="AE82" i="8" s="1"/>
  <c r="W82" i="8"/>
  <c r="Y80" i="8"/>
  <c r="X80" i="8"/>
  <c r="AE81" i="8" s="1"/>
  <c r="W80" i="8"/>
  <c r="O80" i="8"/>
  <c r="K80" i="8"/>
  <c r="I80" i="8" s="1"/>
  <c r="V85" i="8" s="1"/>
  <c r="Y1178" i="8"/>
  <c r="X1178" i="8"/>
  <c r="AE1178" i="8" s="1"/>
  <c r="W1178" i="8"/>
  <c r="Y1177" i="8"/>
  <c r="X1177" i="8"/>
  <c r="AE1177" i="8" s="1"/>
  <c r="W1177" i="8"/>
  <c r="Y1176" i="8"/>
  <c r="X1176" i="8"/>
  <c r="AE1176" i="8" s="1"/>
  <c r="W1176" i="8"/>
  <c r="Y1175" i="8"/>
  <c r="X1175" i="8"/>
  <c r="AE1175" i="8" s="1"/>
  <c r="W1175" i="8"/>
  <c r="Y1173" i="8"/>
  <c r="X1173" i="8"/>
  <c r="AE1173" i="8" s="1"/>
  <c r="W1173" i="8"/>
  <c r="O1173" i="8"/>
  <c r="K1173" i="8"/>
  <c r="I1173" i="8" s="1"/>
  <c r="Y1172" i="8"/>
  <c r="X1172" i="8"/>
  <c r="AE1172" i="8" s="1"/>
  <c r="W1172" i="8"/>
  <c r="Y1171" i="8"/>
  <c r="X1171" i="8"/>
  <c r="AE1171" i="8" s="1"/>
  <c r="W1171" i="8"/>
  <c r="Y1170" i="8"/>
  <c r="X1170" i="8"/>
  <c r="AE1170" i="8" s="1"/>
  <c r="W1170" i="8"/>
  <c r="Y1169" i="8"/>
  <c r="X1169" i="8"/>
  <c r="AE1169" i="8" s="1"/>
  <c r="W1169" i="8"/>
  <c r="Y1167" i="8"/>
  <c r="X1167" i="8"/>
  <c r="AE1168" i="8" s="1"/>
  <c r="W1167" i="8"/>
  <c r="O1167" i="8"/>
  <c r="K1167" i="8"/>
  <c r="I1167" i="8" s="1"/>
  <c r="Y1117" i="8"/>
  <c r="X1117" i="8"/>
  <c r="AE1117" i="8" s="1"/>
  <c r="W1117" i="8"/>
  <c r="Y1116" i="8"/>
  <c r="X1116" i="8"/>
  <c r="AE1116" i="8" s="1"/>
  <c r="W1116" i="8"/>
  <c r="Y1115" i="8"/>
  <c r="X1115" i="8"/>
  <c r="AE1115" i="8" s="1"/>
  <c r="W1115" i="8"/>
  <c r="Y1114" i="8"/>
  <c r="X1114" i="8"/>
  <c r="AE1114" i="8" s="1"/>
  <c r="W1114" i="8"/>
  <c r="Y1112" i="8"/>
  <c r="X1112" i="8"/>
  <c r="AE1112" i="8" s="1"/>
  <c r="W1112" i="8"/>
  <c r="O1112" i="8"/>
  <c r="K1112" i="8"/>
  <c r="I1112" i="8" s="1"/>
  <c r="Y1111" i="8"/>
  <c r="X1111" i="8"/>
  <c r="AE1111" i="8" s="1"/>
  <c r="W1111" i="8"/>
  <c r="Y1110" i="8"/>
  <c r="X1110" i="8"/>
  <c r="AE1110" i="8" s="1"/>
  <c r="W1110" i="8"/>
  <c r="Y1109" i="8"/>
  <c r="X1109" i="8"/>
  <c r="AE1109" i="8" s="1"/>
  <c r="W1109" i="8"/>
  <c r="Y1108" i="8"/>
  <c r="X1108" i="8"/>
  <c r="AE1108" i="8" s="1"/>
  <c r="W1108" i="8"/>
  <c r="Y1106" i="8"/>
  <c r="X1106" i="8"/>
  <c r="AE1107" i="8" s="1"/>
  <c r="W1106" i="8"/>
  <c r="O1106" i="8"/>
  <c r="K1106" i="8"/>
  <c r="I1106" i="8" s="1"/>
  <c r="U1110" i="8" s="1"/>
  <c r="Y1044" i="8"/>
  <c r="X1044" i="8"/>
  <c r="AE1044" i="8" s="1"/>
  <c r="W1044" i="8"/>
  <c r="Y1043" i="8"/>
  <c r="X1043" i="8"/>
  <c r="AE1043" i="8" s="1"/>
  <c r="W1043" i="8"/>
  <c r="Y1042" i="8"/>
  <c r="X1042" i="8"/>
  <c r="AE1042" i="8" s="1"/>
  <c r="W1042" i="8"/>
  <c r="Y1041" i="8"/>
  <c r="X1041" i="8"/>
  <c r="AE1041" i="8" s="1"/>
  <c r="W1041" i="8"/>
  <c r="Y1039" i="8"/>
  <c r="X1039" i="8"/>
  <c r="AE1039" i="8" s="1"/>
  <c r="W1039" i="8"/>
  <c r="O1039" i="8"/>
  <c r="K1039" i="8"/>
  <c r="I1039" i="8" s="1"/>
  <c r="V1044" i="8" s="1"/>
  <c r="Y1038" i="8"/>
  <c r="X1038" i="8"/>
  <c r="AE1038" i="8" s="1"/>
  <c r="W1038" i="8"/>
  <c r="Y1037" i="8"/>
  <c r="X1037" i="8"/>
  <c r="AE1037" i="8" s="1"/>
  <c r="W1037" i="8"/>
  <c r="Y1036" i="8"/>
  <c r="X1036" i="8"/>
  <c r="AE1036" i="8" s="1"/>
  <c r="W1036" i="8"/>
  <c r="Y1035" i="8"/>
  <c r="X1035" i="8"/>
  <c r="AE1035" i="8" s="1"/>
  <c r="W1035" i="8"/>
  <c r="Y1033" i="8"/>
  <c r="X1033" i="8"/>
  <c r="AE1034" i="8" s="1"/>
  <c r="W1033" i="8"/>
  <c r="O1033" i="8"/>
  <c r="K1033" i="8"/>
  <c r="I1033" i="8" s="1"/>
  <c r="U1037" i="8" s="1"/>
  <c r="Y953" i="8"/>
  <c r="X953" i="8"/>
  <c r="AE953" i="8" s="1"/>
  <c r="W953" i="8"/>
  <c r="Y952" i="8"/>
  <c r="X952" i="8"/>
  <c r="AE952" i="8" s="1"/>
  <c r="W952" i="8"/>
  <c r="Y951" i="8"/>
  <c r="X951" i="8"/>
  <c r="AE951" i="8" s="1"/>
  <c r="W951" i="8"/>
  <c r="Y950" i="8"/>
  <c r="X950" i="8"/>
  <c r="AE950" i="8" s="1"/>
  <c r="W950" i="8"/>
  <c r="Y948" i="8"/>
  <c r="X948" i="8"/>
  <c r="AE949" i="8" s="1"/>
  <c r="W948" i="8"/>
  <c r="O948" i="8"/>
  <c r="K948" i="8"/>
  <c r="I948" i="8" s="1"/>
  <c r="V953" i="8" s="1"/>
  <c r="Y947" i="8"/>
  <c r="X947" i="8"/>
  <c r="AE947" i="8" s="1"/>
  <c r="W947" i="8"/>
  <c r="Y946" i="8"/>
  <c r="X946" i="8"/>
  <c r="AE946" i="8" s="1"/>
  <c r="W946" i="8"/>
  <c r="Y945" i="8"/>
  <c r="X945" i="8"/>
  <c r="AE945" i="8" s="1"/>
  <c r="W945" i="8"/>
  <c r="Y944" i="8"/>
  <c r="X944" i="8"/>
  <c r="AE944" i="8" s="1"/>
  <c r="W944" i="8"/>
  <c r="Y942" i="8"/>
  <c r="X942" i="8"/>
  <c r="AE943" i="8" s="1"/>
  <c r="W942" i="8"/>
  <c r="O942" i="8"/>
  <c r="K942" i="8"/>
  <c r="I942" i="8" s="1"/>
  <c r="Y892" i="8"/>
  <c r="X892" i="8"/>
  <c r="AE892" i="8" s="1"/>
  <c r="W892" i="8"/>
  <c r="Y891" i="8"/>
  <c r="X891" i="8"/>
  <c r="AE891" i="8" s="1"/>
  <c r="W891" i="8"/>
  <c r="Y890" i="8"/>
  <c r="X890" i="8"/>
  <c r="AE890" i="8" s="1"/>
  <c r="W890" i="8"/>
  <c r="Y889" i="8"/>
  <c r="X889" i="8"/>
  <c r="AE889" i="8" s="1"/>
  <c r="W889" i="8"/>
  <c r="Y887" i="8"/>
  <c r="X887" i="8"/>
  <c r="AE888" i="8" s="1"/>
  <c r="W887" i="8"/>
  <c r="O887" i="8"/>
  <c r="K887" i="8"/>
  <c r="I887" i="8" s="1"/>
  <c r="Y886" i="8"/>
  <c r="X886" i="8"/>
  <c r="AE886" i="8" s="1"/>
  <c r="W886" i="8"/>
  <c r="Y885" i="8"/>
  <c r="X885" i="8"/>
  <c r="AE885" i="8" s="1"/>
  <c r="W885" i="8"/>
  <c r="Y884" i="8"/>
  <c r="X884" i="8"/>
  <c r="AE884" i="8" s="1"/>
  <c r="W884" i="8"/>
  <c r="Y883" i="8"/>
  <c r="X883" i="8"/>
  <c r="AE883" i="8" s="1"/>
  <c r="W883" i="8"/>
  <c r="Y881" i="8"/>
  <c r="X881" i="8"/>
  <c r="AE882" i="8" s="1"/>
  <c r="W881" i="8"/>
  <c r="O881" i="8"/>
  <c r="K881" i="8"/>
  <c r="I881" i="8" s="1"/>
  <c r="Y819" i="8"/>
  <c r="X819" i="8"/>
  <c r="AE819" i="8" s="1"/>
  <c r="W819" i="8"/>
  <c r="Y818" i="8"/>
  <c r="X818" i="8"/>
  <c r="AE818" i="8" s="1"/>
  <c r="W818" i="8"/>
  <c r="Y817" i="8"/>
  <c r="X817" i="8"/>
  <c r="AE817" i="8" s="1"/>
  <c r="W817" i="8"/>
  <c r="Y816" i="8"/>
  <c r="X816" i="8"/>
  <c r="AE816" i="8" s="1"/>
  <c r="W816" i="8"/>
  <c r="Y814" i="8"/>
  <c r="X814" i="8"/>
  <c r="AE815" i="8" s="1"/>
  <c r="W814" i="8"/>
  <c r="O814" i="8"/>
  <c r="K814" i="8"/>
  <c r="I814" i="8" s="1"/>
  <c r="V819" i="8" s="1"/>
  <c r="Y813" i="8"/>
  <c r="X813" i="8"/>
  <c r="AE813" i="8" s="1"/>
  <c r="W813" i="8"/>
  <c r="Y812" i="8"/>
  <c r="X812" i="8"/>
  <c r="AE812" i="8" s="1"/>
  <c r="W812" i="8"/>
  <c r="Y811" i="8"/>
  <c r="X811" i="8"/>
  <c r="AE811" i="8" s="1"/>
  <c r="W811" i="8"/>
  <c r="Y810" i="8"/>
  <c r="X810" i="8"/>
  <c r="AE810" i="8" s="1"/>
  <c r="W810" i="8"/>
  <c r="Y808" i="8"/>
  <c r="X808" i="8"/>
  <c r="AE809" i="8" s="1"/>
  <c r="W808" i="8"/>
  <c r="O808" i="8"/>
  <c r="K808" i="8"/>
  <c r="I808" i="8" s="1"/>
  <c r="Y728" i="8"/>
  <c r="X728" i="8"/>
  <c r="AE728" i="8" s="1"/>
  <c r="W728" i="8"/>
  <c r="Y727" i="8"/>
  <c r="X727" i="8"/>
  <c r="AE727" i="8" s="1"/>
  <c r="W727" i="8"/>
  <c r="Y726" i="8"/>
  <c r="X726" i="8"/>
  <c r="AE726" i="8" s="1"/>
  <c r="W726" i="8"/>
  <c r="Y725" i="8"/>
  <c r="X725" i="8"/>
  <c r="AE725" i="8" s="1"/>
  <c r="W725" i="8"/>
  <c r="Y723" i="8"/>
  <c r="X723" i="8"/>
  <c r="AE724" i="8" s="1"/>
  <c r="W723" i="8"/>
  <c r="O723" i="8"/>
  <c r="K723" i="8"/>
  <c r="I723" i="8" s="1"/>
  <c r="Y722" i="8"/>
  <c r="X722" i="8"/>
  <c r="AE722" i="8" s="1"/>
  <c r="W722" i="8"/>
  <c r="Y721" i="8"/>
  <c r="X721" i="8"/>
  <c r="AE721" i="8" s="1"/>
  <c r="W721" i="8"/>
  <c r="Y720" i="8"/>
  <c r="X720" i="8"/>
  <c r="AE720" i="8" s="1"/>
  <c r="W720" i="8"/>
  <c r="Y719" i="8"/>
  <c r="X719" i="8"/>
  <c r="AE719" i="8" s="1"/>
  <c r="W719" i="8"/>
  <c r="Y717" i="8"/>
  <c r="X717" i="8"/>
  <c r="AE717" i="8" s="1"/>
  <c r="W717" i="8"/>
  <c r="O717" i="8"/>
  <c r="K717" i="8"/>
  <c r="I717" i="8" s="1"/>
  <c r="Y655" i="8"/>
  <c r="X655" i="8"/>
  <c r="AE655" i="8" s="1"/>
  <c r="W655" i="8"/>
  <c r="Y654" i="8"/>
  <c r="X654" i="8"/>
  <c r="AE654" i="8" s="1"/>
  <c r="W654" i="8"/>
  <c r="Y653" i="8"/>
  <c r="X653" i="8"/>
  <c r="AE653" i="8" s="1"/>
  <c r="W653" i="8"/>
  <c r="Y652" i="8"/>
  <c r="X652" i="8"/>
  <c r="AE652" i="8" s="1"/>
  <c r="W652" i="8"/>
  <c r="Y650" i="8"/>
  <c r="X650" i="8"/>
  <c r="AE650" i="8" s="1"/>
  <c r="W650" i="8"/>
  <c r="O650" i="8"/>
  <c r="K650" i="8"/>
  <c r="I650" i="8" s="1"/>
  <c r="V655" i="8" s="1"/>
  <c r="Y649" i="8"/>
  <c r="X649" i="8"/>
  <c r="AE649" i="8" s="1"/>
  <c r="W649" i="8"/>
  <c r="Y648" i="8"/>
  <c r="X648" i="8"/>
  <c r="AE648" i="8" s="1"/>
  <c r="W648" i="8"/>
  <c r="Y647" i="8"/>
  <c r="X647" i="8"/>
  <c r="AE647" i="8" s="1"/>
  <c r="W647" i="8"/>
  <c r="Y646" i="8"/>
  <c r="X646" i="8"/>
  <c r="AE646" i="8" s="1"/>
  <c r="W646" i="8"/>
  <c r="Y644" i="8"/>
  <c r="X644" i="8"/>
  <c r="AE645" i="8" s="1"/>
  <c r="W644" i="8"/>
  <c r="O644" i="8"/>
  <c r="K644" i="8"/>
  <c r="I644" i="8" s="1"/>
  <c r="Y564" i="8"/>
  <c r="X564" i="8"/>
  <c r="AE564" i="8" s="1"/>
  <c r="W564" i="8"/>
  <c r="Y563" i="8"/>
  <c r="X563" i="8"/>
  <c r="AE563" i="8" s="1"/>
  <c r="W563" i="8"/>
  <c r="Y562" i="8"/>
  <c r="X562" i="8"/>
  <c r="AE562" i="8" s="1"/>
  <c r="W562" i="8"/>
  <c r="Y561" i="8"/>
  <c r="X561" i="8"/>
  <c r="AE561" i="8" s="1"/>
  <c r="W561" i="8"/>
  <c r="Y559" i="8"/>
  <c r="X559" i="8"/>
  <c r="AE560" i="8" s="1"/>
  <c r="W559" i="8"/>
  <c r="O559" i="8"/>
  <c r="K559" i="8"/>
  <c r="I559" i="8" s="1"/>
  <c r="V564" i="8" s="1"/>
  <c r="Y558" i="8"/>
  <c r="X558" i="8"/>
  <c r="AE558" i="8" s="1"/>
  <c r="W558" i="8"/>
  <c r="Y557" i="8"/>
  <c r="X557" i="8"/>
  <c r="AE557" i="8" s="1"/>
  <c r="W557" i="8"/>
  <c r="Y556" i="8"/>
  <c r="X556" i="8"/>
  <c r="AE556" i="8" s="1"/>
  <c r="W556" i="8"/>
  <c r="Y555" i="8"/>
  <c r="X555" i="8"/>
  <c r="AE555" i="8" s="1"/>
  <c r="W555" i="8"/>
  <c r="Y553" i="8"/>
  <c r="X553" i="8"/>
  <c r="AE554" i="8" s="1"/>
  <c r="W553" i="8"/>
  <c r="O553" i="8"/>
  <c r="K553" i="8"/>
  <c r="I553" i="8" s="1"/>
  <c r="U557" i="8" s="1"/>
  <c r="Y491" i="8"/>
  <c r="X491" i="8"/>
  <c r="AE491" i="8" s="1"/>
  <c r="W491" i="8"/>
  <c r="Y490" i="8"/>
  <c r="X490" i="8"/>
  <c r="AE490" i="8" s="1"/>
  <c r="W490" i="8"/>
  <c r="Y489" i="8"/>
  <c r="X489" i="8"/>
  <c r="AE489" i="8" s="1"/>
  <c r="W489" i="8"/>
  <c r="Y488" i="8"/>
  <c r="X488" i="8"/>
  <c r="AE488" i="8" s="1"/>
  <c r="W488" i="8"/>
  <c r="Y486" i="8"/>
  <c r="X486" i="8"/>
  <c r="AE487" i="8" s="1"/>
  <c r="W486" i="8"/>
  <c r="O486" i="8"/>
  <c r="K486" i="8"/>
  <c r="I486" i="8" s="1"/>
  <c r="V491" i="8" s="1"/>
  <c r="Y485" i="8"/>
  <c r="X485" i="8"/>
  <c r="AE485" i="8" s="1"/>
  <c r="W485" i="8"/>
  <c r="Y484" i="8"/>
  <c r="X484" i="8"/>
  <c r="AE484" i="8" s="1"/>
  <c r="W484" i="8"/>
  <c r="Y483" i="8"/>
  <c r="X483" i="8"/>
  <c r="AE483" i="8" s="1"/>
  <c r="W483" i="8"/>
  <c r="Y482" i="8"/>
  <c r="X482" i="8"/>
  <c r="AE482" i="8" s="1"/>
  <c r="W482" i="8"/>
  <c r="Y480" i="8"/>
  <c r="X480" i="8"/>
  <c r="AE481" i="8" s="1"/>
  <c r="W480" i="8"/>
  <c r="O480" i="8"/>
  <c r="K480" i="8"/>
  <c r="I480" i="8" s="1"/>
  <c r="T484" i="8" s="1"/>
  <c r="Y400" i="8"/>
  <c r="X400" i="8"/>
  <c r="AE400" i="8" s="1"/>
  <c r="W400" i="8"/>
  <c r="Y399" i="8"/>
  <c r="X399" i="8"/>
  <c r="AE399" i="8" s="1"/>
  <c r="W399" i="8"/>
  <c r="Y398" i="8"/>
  <c r="X398" i="8"/>
  <c r="AE398" i="8" s="1"/>
  <c r="W398" i="8"/>
  <c r="Y397" i="8"/>
  <c r="X397" i="8"/>
  <c r="AE397" i="8" s="1"/>
  <c r="W397" i="8"/>
  <c r="Y395" i="8"/>
  <c r="X395" i="8"/>
  <c r="AE396" i="8" s="1"/>
  <c r="W395" i="8"/>
  <c r="O395" i="8"/>
  <c r="K395" i="8"/>
  <c r="I395" i="8" s="1"/>
  <c r="Y394" i="8"/>
  <c r="X394" i="8"/>
  <c r="AE394" i="8" s="1"/>
  <c r="W394" i="8"/>
  <c r="Y393" i="8"/>
  <c r="X393" i="8"/>
  <c r="AE393" i="8" s="1"/>
  <c r="W393" i="8"/>
  <c r="Y392" i="8"/>
  <c r="X392" i="8"/>
  <c r="AE392" i="8" s="1"/>
  <c r="W392" i="8"/>
  <c r="Y391" i="8"/>
  <c r="X391" i="8"/>
  <c r="AE391" i="8" s="1"/>
  <c r="W391" i="8"/>
  <c r="Y389" i="8"/>
  <c r="X389" i="8"/>
  <c r="AE390" i="8" s="1"/>
  <c r="W389" i="8"/>
  <c r="O389" i="8"/>
  <c r="K389" i="8"/>
  <c r="I389" i="8" s="1"/>
  <c r="Y297" i="8"/>
  <c r="X297" i="8"/>
  <c r="AE297" i="8" s="1"/>
  <c r="W297" i="8"/>
  <c r="Y296" i="8"/>
  <c r="X296" i="8"/>
  <c r="AE296" i="8" s="1"/>
  <c r="W296" i="8"/>
  <c r="Y295" i="8"/>
  <c r="X295" i="8"/>
  <c r="AE295" i="8" s="1"/>
  <c r="W295" i="8"/>
  <c r="Y294" i="8"/>
  <c r="X294" i="8"/>
  <c r="AE294" i="8" s="1"/>
  <c r="W294" i="8"/>
  <c r="Y292" i="8"/>
  <c r="X292" i="8"/>
  <c r="AE293" i="8" s="1"/>
  <c r="W292" i="8"/>
  <c r="O292" i="8"/>
  <c r="K292" i="8"/>
  <c r="I292" i="8" s="1"/>
  <c r="Y291" i="8"/>
  <c r="X291" i="8"/>
  <c r="AE291" i="8" s="1"/>
  <c r="W291" i="8"/>
  <c r="Y290" i="8"/>
  <c r="X290" i="8"/>
  <c r="AE290" i="8" s="1"/>
  <c r="W290" i="8"/>
  <c r="Y289" i="8"/>
  <c r="X289" i="8"/>
  <c r="AE289" i="8" s="1"/>
  <c r="W289" i="8"/>
  <c r="Y288" i="8"/>
  <c r="X288" i="8"/>
  <c r="AE288" i="8" s="1"/>
  <c r="W288" i="8"/>
  <c r="Y286" i="8"/>
  <c r="X286" i="8"/>
  <c r="AE287" i="8" s="1"/>
  <c r="W286" i="8"/>
  <c r="O286" i="8"/>
  <c r="K286" i="8"/>
  <c r="I286" i="8" s="1"/>
  <c r="U290" i="8" s="1"/>
  <c r="Y182" i="8"/>
  <c r="X182" i="8"/>
  <c r="AE182" i="8" s="1"/>
  <c r="W182" i="8"/>
  <c r="Y181" i="8"/>
  <c r="X181" i="8"/>
  <c r="AE181" i="8" s="1"/>
  <c r="W181" i="8"/>
  <c r="Y180" i="8"/>
  <c r="X180" i="8"/>
  <c r="AE180" i="8" s="1"/>
  <c r="W180" i="8"/>
  <c r="Y179" i="8"/>
  <c r="X179" i="8"/>
  <c r="AE179" i="8" s="1"/>
  <c r="W179" i="8"/>
  <c r="Y177" i="8"/>
  <c r="X177" i="8"/>
  <c r="AE178" i="8" s="1"/>
  <c r="W177" i="8"/>
  <c r="O177" i="8"/>
  <c r="K177" i="8"/>
  <c r="I177" i="8" s="1"/>
  <c r="V182" i="8" s="1"/>
  <c r="Y176" i="8"/>
  <c r="X176" i="8"/>
  <c r="AE176" i="8" s="1"/>
  <c r="W176" i="8"/>
  <c r="Y175" i="8"/>
  <c r="X175" i="8"/>
  <c r="AE175" i="8" s="1"/>
  <c r="W175" i="8"/>
  <c r="Y174" i="8"/>
  <c r="X174" i="8"/>
  <c r="AE174" i="8" s="1"/>
  <c r="W174" i="8"/>
  <c r="Y173" i="8"/>
  <c r="X173" i="8"/>
  <c r="AE173" i="8" s="1"/>
  <c r="W173" i="8"/>
  <c r="Y171" i="8"/>
  <c r="X171" i="8"/>
  <c r="AE172" i="8" s="1"/>
  <c r="W171" i="8"/>
  <c r="O171" i="8"/>
  <c r="K171" i="8"/>
  <c r="I171" i="8" s="1"/>
  <c r="Y79" i="8"/>
  <c r="X79" i="8"/>
  <c r="AE79" i="8" s="1"/>
  <c r="W79" i="8"/>
  <c r="Y78" i="8"/>
  <c r="X78" i="8"/>
  <c r="AE78" i="8" s="1"/>
  <c r="W78" i="8"/>
  <c r="Y77" i="8"/>
  <c r="X77" i="8"/>
  <c r="AE77" i="8" s="1"/>
  <c r="W77" i="8"/>
  <c r="Y76" i="8"/>
  <c r="X76" i="8"/>
  <c r="AE76" i="8" s="1"/>
  <c r="W76" i="8"/>
  <c r="Y74" i="8"/>
  <c r="X74" i="8"/>
  <c r="AE75" i="8" s="1"/>
  <c r="W74" i="8"/>
  <c r="O74" i="8"/>
  <c r="K74" i="8"/>
  <c r="I74" i="8" s="1"/>
  <c r="Z163" i="23" l="1"/>
  <c r="AE1136" i="8"/>
  <c r="AE1197" i="8"/>
  <c r="V1202" i="8"/>
  <c r="AB1202" i="8" s="1"/>
  <c r="T1200" i="8"/>
  <c r="Z1200" i="8" s="1"/>
  <c r="U1197" i="8"/>
  <c r="AA1197" i="8" s="1"/>
  <c r="U1202" i="8"/>
  <c r="AA1202" i="8" s="1"/>
  <c r="V1199" i="8"/>
  <c r="AB1199" i="8" s="1"/>
  <c r="T1197" i="8"/>
  <c r="Z1197" i="8" s="1"/>
  <c r="T1202" i="8"/>
  <c r="Z1202" i="8" s="1"/>
  <c r="U1199" i="8"/>
  <c r="AA1199" i="8" s="1"/>
  <c r="V1201" i="8"/>
  <c r="AB1201" i="8" s="1"/>
  <c r="T1199" i="8"/>
  <c r="Z1199" i="8" s="1"/>
  <c r="V1200" i="8"/>
  <c r="AB1200" i="8" s="1"/>
  <c r="U1201" i="8"/>
  <c r="AA1201" i="8" s="1"/>
  <c r="T1201" i="8"/>
  <c r="Z1201" i="8" s="1"/>
  <c r="U1200" i="8"/>
  <c r="AA1200" i="8" s="1"/>
  <c r="V1197" i="8"/>
  <c r="AB1197" i="8" s="1"/>
  <c r="V1141" i="8"/>
  <c r="AB1141" i="8" s="1"/>
  <c r="T1139" i="8"/>
  <c r="Z1139" i="8" s="1"/>
  <c r="U1136" i="8"/>
  <c r="AA1136" i="8" s="1"/>
  <c r="U1141" i="8"/>
  <c r="AA1141" i="8" s="1"/>
  <c r="V1138" i="8"/>
  <c r="AB1138" i="8" s="1"/>
  <c r="T1136" i="8"/>
  <c r="Z1136" i="8" s="1"/>
  <c r="V1139" i="8"/>
  <c r="AB1139" i="8" s="1"/>
  <c r="T1141" i="8"/>
  <c r="Z1141" i="8" s="1"/>
  <c r="U1138" i="8"/>
  <c r="AA1138" i="8" s="1"/>
  <c r="U1139" i="8"/>
  <c r="AA1139" i="8" s="1"/>
  <c r="V1136" i="8"/>
  <c r="AB1136" i="8" s="1"/>
  <c r="V1140" i="8"/>
  <c r="AB1140" i="8" s="1"/>
  <c r="T1138" i="8"/>
  <c r="Z1138" i="8" s="1"/>
  <c r="U1140" i="8"/>
  <c r="AA1140" i="8" s="1"/>
  <c r="T1140" i="8"/>
  <c r="Z1140" i="8" s="1"/>
  <c r="V1080" i="8"/>
  <c r="AB1080" i="8" s="1"/>
  <c r="U1078" i="8"/>
  <c r="AA1078" i="8" s="1"/>
  <c r="V1075" i="8"/>
  <c r="AB1075" i="8" s="1"/>
  <c r="U1075" i="8"/>
  <c r="AA1075" i="8" s="1"/>
  <c r="AE1075" i="8"/>
  <c r="AB1007" i="8"/>
  <c r="V1078" i="8"/>
  <c r="AB1078" i="8" s="1"/>
  <c r="T1079" i="8"/>
  <c r="Z1079" i="8" s="1"/>
  <c r="U1079" i="8"/>
  <c r="AA1079" i="8" s="1"/>
  <c r="T1077" i="8"/>
  <c r="Z1077" i="8" s="1"/>
  <c r="V1079" i="8"/>
  <c r="AB1079" i="8" s="1"/>
  <c r="U1077" i="8"/>
  <c r="AA1077" i="8" s="1"/>
  <c r="T1080" i="8"/>
  <c r="Z1080" i="8" s="1"/>
  <c r="T1075" i="8"/>
  <c r="Z1075" i="8" s="1"/>
  <c r="V1077" i="8"/>
  <c r="AB1077" i="8" s="1"/>
  <c r="U1080" i="8"/>
  <c r="AA1080" i="8" s="1"/>
  <c r="T1078" i="8"/>
  <c r="Z1078" i="8" s="1"/>
  <c r="AE1002" i="8"/>
  <c r="V1005" i="8"/>
  <c r="AB1005" i="8" s="1"/>
  <c r="V1002" i="8"/>
  <c r="AB1002" i="8" s="1"/>
  <c r="U1005" i="8"/>
  <c r="AA1005" i="8" s="1"/>
  <c r="T1006" i="8"/>
  <c r="Z1006" i="8" s="1"/>
  <c r="U1006" i="8"/>
  <c r="AA1006" i="8" s="1"/>
  <c r="T1004" i="8"/>
  <c r="Z1004" i="8" s="1"/>
  <c r="V1006" i="8"/>
  <c r="AB1006" i="8" s="1"/>
  <c r="U1004" i="8"/>
  <c r="AA1004" i="8" s="1"/>
  <c r="T1007" i="8"/>
  <c r="Z1007" i="8" s="1"/>
  <c r="T1002" i="8"/>
  <c r="Z1002" i="8" s="1"/>
  <c r="V1004" i="8"/>
  <c r="AB1004" i="8" s="1"/>
  <c r="U1007" i="8"/>
  <c r="AA1007" i="8" s="1"/>
  <c r="U1002" i="8"/>
  <c r="AA1002" i="8" s="1"/>
  <c r="T1005" i="8"/>
  <c r="Z1005" i="8" s="1"/>
  <c r="AE850" i="8"/>
  <c r="AE911" i="8"/>
  <c r="V916" i="8"/>
  <c r="AB916" i="8" s="1"/>
  <c r="T914" i="8"/>
  <c r="Z914" i="8" s="1"/>
  <c r="U911" i="8"/>
  <c r="AA911" i="8" s="1"/>
  <c r="U916" i="8"/>
  <c r="AA916" i="8" s="1"/>
  <c r="V913" i="8"/>
  <c r="AB913" i="8" s="1"/>
  <c r="T911" i="8"/>
  <c r="Z911" i="8" s="1"/>
  <c r="T916" i="8"/>
  <c r="Z916" i="8" s="1"/>
  <c r="U913" i="8"/>
  <c r="AA913" i="8" s="1"/>
  <c r="V914" i="8"/>
  <c r="AB914" i="8" s="1"/>
  <c r="V915" i="8"/>
  <c r="AB915" i="8" s="1"/>
  <c r="T913" i="8"/>
  <c r="Z913" i="8" s="1"/>
  <c r="U915" i="8"/>
  <c r="AA915" i="8" s="1"/>
  <c r="T915" i="8"/>
  <c r="Z915" i="8" s="1"/>
  <c r="U914" i="8"/>
  <c r="AA914" i="8" s="1"/>
  <c r="V911" i="8"/>
  <c r="AB911" i="8" s="1"/>
  <c r="T854" i="8"/>
  <c r="Z854" i="8" s="1"/>
  <c r="U850" i="8"/>
  <c r="AA850" i="8" s="1"/>
  <c r="T853" i="8"/>
  <c r="Z853" i="8" s="1"/>
  <c r="V853" i="8"/>
  <c r="AB853" i="8" s="1"/>
  <c r="V855" i="8"/>
  <c r="AB855" i="8" s="1"/>
  <c r="AA855" i="8"/>
  <c r="V850" i="8"/>
  <c r="AB850" i="8" s="1"/>
  <c r="U853" i="8"/>
  <c r="AA853" i="8" s="1"/>
  <c r="U854" i="8"/>
  <c r="AA854" i="8" s="1"/>
  <c r="T852" i="8"/>
  <c r="Z852" i="8" s="1"/>
  <c r="V854" i="8"/>
  <c r="AB854" i="8" s="1"/>
  <c r="U852" i="8"/>
  <c r="AA852" i="8" s="1"/>
  <c r="T855" i="8"/>
  <c r="Z855" i="8" s="1"/>
  <c r="T850" i="8"/>
  <c r="Z850" i="8" s="1"/>
  <c r="V852" i="8"/>
  <c r="AB852" i="8" s="1"/>
  <c r="AB527" i="8"/>
  <c r="V782" i="8"/>
  <c r="AB782" i="8" s="1"/>
  <c r="U782" i="8"/>
  <c r="AA782" i="8" s="1"/>
  <c r="V780" i="8"/>
  <c r="AB780" i="8" s="1"/>
  <c r="T777" i="8"/>
  <c r="Z777" i="8" s="1"/>
  <c r="T781" i="8"/>
  <c r="Z781" i="8" s="1"/>
  <c r="V779" i="8"/>
  <c r="AB779" i="8" s="1"/>
  <c r="V777" i="8"/>
  <c r="AB777" i="8" s="1"/>
  <c r="U780" i="8"/>
  <c r="AA780" i="8" s="1"/>
  <c r="AE778" i="8"/>
  <c r="U781" i="8"/>
  <c r="AA781" i="8" s="1"/>
  <c r="T779" i="8"/>
  <c r="Z779" i="8" s="1"/>
  <c r="V781" i="8"/>
  <c r="AB781" i="8" s="1"/>
  <c r="U779" i="8"/>
  <c r="AA779" i="8" s="1"/>
  <c r="T782" i="8"/>
  <c r="Z782" i="8" s="1"/>
  <c r="U777" i="8"/>
  <c r="AA777" i="8" s="1"/>
  <c r="T780" i="8"/>
  <c r="Z780" i="8" s="1"/>
  <c r="V691" i="8"/>
  <c r="AB691" i="8" s="1"/>
  <c r="V689" i="8"/>
  <c r="AB689" i="8" s="1"/>
  <c r="AE686" i="8"/>
  <c r="V686" i="8"/>
  <c r="AB686" i="8" s="1"/>
  <c r="U689" i="8"/>
  <c r="AA689" i="8" s="1"/>
  <c r="T690" i="8"/>
  <c r="Z690" i="8" s="1"/>
  <c r="U690" i="8"/>
  <c r="AA690" i="8" s="1"/>
  <c r="T688" i="8"/>
  <c r="Z688" i="8" s="1"/>
  <c r="V690" i="8"/>
  <c r="AB690" i="8" s="1"/>
  <c r="U688" i="8"/>
  <c r="AA688" i="8" s="1"/>
  <c r="T691" i="8"/>
  <c r="Z691" i="8" s="1"/>
  <c r="T686" i="8"/>
  <c r="Z686" i="8" s="1"/>
  <c r="V688" i="8"/>
  <c r="AB688" i="8" s="1"/>
  <c r="U691" i="8"/>
  <c r="AA691" i="8" s="1"/>
  <c r="U686" i="8"/>
  <c r="AA686" i="8" s="1"/>
  <c r="T689" i="8"/>
  <c r="Z689" i="8" s="1"/>
  <c r="AB351" i="8"/>
  <c r="AE613" i="8"/>
  <c r="AB776" i="8"/>
  <c r="V618" i="8"/>
  <c r="AB618" i="8" s="1"/>
  <c r="T616" i="8"/>
  <c r="Z616" i="8" s="1"/>
  <c r="U613" i="8"/>
  <c r="AA613" i="8" s="1"/>
  <c r="V613" i="8"/>
  <c r="AB613" i="8" s="1"/>
  <c r="U618" i="8"/>
  <c r="AA618" i="8" s="1"/>
  <c r="V615" i="8"/>
  <c r="AB615" i="8" s="1"/>
  <c r="T613" i="8"/>
  <c r="Z613" i="8" s="1"/>
  <c r="V616" i="8"/>
  <c r="AB616" i="8" s="1"/>
  <c r="T618" i="8"/>
  <c r="Z618" i="8" s="1"/>
  <c r="U615" i="8"/>
  <c r="AA615" i="8" s="1"/>
  <c r="V617" i="8"/>
  <c r="AB617" i="8" s="1"/>
  <c r="T615" i="8"/>
  <c r="Z615" i="8" s="1"/>
  <c r="U617" i="8"/>
  <c r="AA617" i="8" s="1"/>
  <c r="T617" i="8"/>
  <c r="Z617" i="8" s="1"/>
  <c r="U616" i="8"/>
  <c r="AA616" i="8" s="1"/>
  <c r="U522" i="8"/>
  <c r="AA522" i="8" s="1"/>
  <c r="T522" i="8"/>
  <c r="Z522" i="8" s="1"/>
  <c r="AB260" i="8"/>
  <c r="V522" i="8"/>
  <c r="AB522" i="8" s="1"/>
  <c r="U525" i="8"/>
  <c r="AA525" i="8" s="1"/>
  <c r="AE449" i="8"/>
  <c r="AE522" i="8"/>
  <c r="V525" i="8"/>
  <c r="AB525" i="8" s="1"/>
  <c r="T526" i="8"/>
  <c r="Z526" i="8" s="1"/>
  <c r="U526" i="8"/>
  <c r="AA526" i="8" s="1"/>
  <c r="T524" i="8"/>
  <c r="Z524" i="8" s="1"/>
  <c r="V526" i="8"/>
  <c r="AB526" i="8" s="1"/>
  <c r="U524" i="8"/>
  <c r="AA524" i="8" s="1"/>
  <c r="T527" i="8"/>
  <c r="Z527" i="8" s="1"/>
  <c r="V524" i="8"/>
  <c r="AB524" i="8" s="1"/>
  <c r="U527" i="8"/>
  <c r="AA527" i="8" s="1"/>
  <c r="T525" i="8"/>
  <c r="Z525" i="8" s="1"/>
  <c r="AB454" i="8"/>
  <c r="AB448" i="8"/>
  <c r="U449" i="8"/>
  <c r="AA449" i="8" s="1"/>
  <c r="V452" i="8"/>
  <c r="AB452" i="8" s="1"/>
  <c r="V449" i="8"/>
  <c r="AB449" i="8" s="1"/>
  <c r="U452" i="8"/>
  <c r="AA452" i="8" s="1"/>
  <c r="T453" i="8"/>
  <c r="Z453" i="8" s="1"/>
  <c r="U453" i="8"/>
  <c r="AA453" i="8" s="1"/>
  <c r="T451" i="8"/>
  <c r="Z451" i="8" s="1"/>
  <c r="V453" i="8"/>
  <c r="AB453" i="8" s="1"/>
  <c r="U451" i="8"/>
  <c r="AA451" i="8" s="1"/>
  <c r="T454" i="8"/>
  <c r="Z454" i="8" s="1"/>
  <c r="T449" i="8"/>
  <c r="Z449" i="8" s="1"/>
  <c r="V451" i="8"/>
  <c r="AB451" i="8" s="1"/>
  <c r="U454" i="8"/>
  <c r="AA454" i="8" s="1"/>
  <c r="T452" i="8"/>
  <c r="Z452" i="8" s="1"/>
  <c r="V363" i="8"/>
  <c r="AB363" i="8" s="1"/>
  <c r="T361" i="8"/>
  <c r="Z361" i="8" s="1"/>
  <c r="U358" i="8"/>
  <c r="AA358" i="8" s="1"/>
  <c r="V361" i="8"/>
  <c r="AB361" i="8" s="1"/>
  <c r="U363" i="8"/>
  <c r="AA363" i="8" s="1"/>
  <c r="V360" i="8"/>
  <c r="AB360" i="8" s="1"/>
  <c r="T358" i="8"/>
  <c r="Z358" i="8" s="1"/>
  <c r="T362" i="8"/>
  <c r="Z362" i="8" s="1"/>
  <c r="T363" i="8"/>
  <c r="Z363" i="8" s="1"/>
  <c r="U360" i="8"/>
  <c r="AA360" i="8" s="1"/>
  <c r="V362" i="8"/>
  <c r="AB362" i="8" s="1"/>
  <c r="T360" i="8"/>
  <c r="Z360" i="8" s="1"/>
  <c r="U362" i="8"/>
  <c r="AA362" i="8" s="1"/>
  <c r="U361" i="8"/>
  <c r="AA361" i="8" s="1"/>
  <c r="V358" i="8"/>
  <c r="AB358" i="8" s="1"/>
  <c r="AE359" i="8"/>
  <c r="V255" i="8"/>
  <c r="AB255" i="8" s="1"/>
  <c r="U258" i="8"/>
  <c r="AA258" i="8" s="1"/>
  <c r="V258" i="8"/>
  <c r="AB258" i="8" s="1"/>
  <c r="AE256" i="8"/>
  <c r="T259" i="8"/>
  <c r="Z259" i="8" s="1"/>
  <c r="U259" i="8"/>
  <c r="AA259" i="8" s="1"/>
  <c r="T257" i="8"/>
  <c r="Z257" i="8" s="1"/>
  <c r="V259" i="8"/>
  <c r="AB259" i="8" s="1"/>
  <c r="U257" i="8"/>
  <c r="AA257" i="8" s="1"/>
  <c r="T260" i="8"/>
  <c r="Z260" i="8" s="1"/>
  <c r="T255" i="8"/>
  <c r="Z255" i="8" s="1"/>
  <c r="V257" i="8"/>
  <c r="AB257" i="8" s="1"/>
  <c r="U260" i="8"/>
  <c r="AA260" i="8" s="1"/>
  <c r="U255" i="8"/>
  <c r="AA255" i="8" s="1"/>
  <c r="T258" i="8"/>
  <c r="Z258" i="8" s="1"/>
  <c r="AE996" i="8"/>
  <c r="V1001" i="8"/>
  <c r="AB1001" i="8" s="1"/>
  <c r="U999" i="8"/>
  <c r="AA999" i="8" s="1"/>
  <c r="U996" i="8"/>
  <c r="AA996" i="8" s="1"/>
  <c r="AE771" i="8"/>
  <c r="AE607" i="8"/>
  <c r="U771" i="8"/>
  <c r="AA771" i="8" s="1"/>
  <c r="U774" i="8"/>
  <c r="AA774" i="8" s="1"/>
  <c r="V145" i="8"/>
  <c r="AB145" i="8" s="1"/>
  <c r="V143" i="8"/>
  <c r="AB143" i="8" s="1"/>
  <c r="V140" i="8"/>
  <c r="AB140" i="8" s="1"/>
  <c r="U143" i="8"/>
  <c r="AA143" i="8" s="1"/>
  <c r="AE141" i="8"/>
  <c r="T144" i="8"/>
  <c r="Z144" i="8" s="1"/>
  <c r="U144" i="8"/>
  <c r="AA144" i="8" s="1"/>
  <c r="T142" i="8"/>
  <c r="Z142" i="8" s="1"/>
  <c r="V144" i="8"/>
  <c r="AB144" i="8" s="1"/>
  <c r="U142" i="8"/>
  <c r="AA142" i="8" s="1"/>
  <c r="T145" i="8"/>
  <c r="Z145" i="8" s="1"/>
  <c r="T140" i="8"/>
  <c r="Z140" i="8" s="1"/>
  <c r="V142" i="8"/>
  <c r="AB142" i="8" s="1"/>
  <c r="U145" i="8"/>
  <c r="AA145" i="8" s="1"/>
  <c r="U140" i="8"/>
  <c r="AA140" i="8" s="1"/>
  <c r="T143" i="8"/>
  <c r="Z143" i="8" s="1"/>
  <c r="V996" i="8"/>
  <c r="AB996" i="8" s="1"/>
  <c r="V999" i="8"/>
  <c r="AB999" i="8" s="1"/>
  <c r="T1000" i="8"/>
  <c r="Z1000" i="8" s="1"/>
  <c r="U1000" i="8"/>
  <c r="AA1000" i="8" s="1"/>
  <c r="T998" i="8"/>
  <c r="Z998" i="8" s="1"/>
  <c r="V1000" i="8"/>
  <c r="AB1000" i="8" s="1"/>
  <c r="U998" i="8"/>
  <c r="AA998" i="8" s="1"/>
  <c r="T1001" i="8"/>
  <c r="Z1001" i="8" s="1"/>
  <c r="V998" i="8"/>
  <c r="AB998" i="8" s="1"/>
  <c r="U1001" i="8"/>
  <c r="AA1001" i="8" s="1"/>
  <c r="T996" i="8"/>
  <c r="Z996" i="8" s="1"/>
  <c r="T999" i="8"/>
  <c r="Z999" i="8" s="1"/>
  <c r="V771" i="8"/>
  <c r="AB771" i="8" s="1"/>
  <c r="V774" i="8"/>
  <c r="AB774" i="8" s="1"/>
  <c r="T775" i="8"/>
  <c r="Z775" i="8" s="1"/>
  <c r="U775" i="8"/>
  <c r="AA775" i="8" s="1"/>
  <c r="T773" i="8"/>
  <c r="Z773" i="8" s="1"/>
  <c r="V775" i="8"/>
  <c r="AB775" i="8" s="1"/>
  <c r="U773" i="8"/>
  <c r="AA773" i="8" s="1"/>
  <c r="T776" i="8"/>
  <c r="Z776" i="8" s="1"/>
  <c r="V773" i="8"/>
  <c r="AB773" i="8" s="1"/>
  <c r="U776" i="8"/>
  <c r="AA776" i="8" s="1"/>
  <c r="T771" i="8"/>
  <c r="Z771" i="8" s="1"/>
  <c r="T774" i="8"/>
  <c r="Z774" i="8" s="1"/>
  <c r="V612" i="8"/>
  <c r="AB612" i="8" s="1"/>
  <c r="V610" i="8"/>
  <c r="AB610" i="8" s="1"/>
  <c r="V607" i="8"/>
  <c r="AB607" i="8" s="1"/>
  <c r="T611" i="8"/>
  <c r="Z611" i="8" s="1"/>
  <c r="U607" i="8"/>
  <c r="AA607" i="8" s="1"/>
  <c r="AB770" i="8"/>
  <c r="AE353" i="8"/>
  <c r="V446" i="8"/>
  <c r="AB446" i="8" s="1"/>
  <c r="V443" i="8"/>
  <c r="AB443" i="8" s="1"/>
  <c r="U610" i="8"/>
  <c r="AA610" i="8" s="1"/>
  <c r="U611" i="8"/>
  <c r="AA611" i="8" s="1"/>
  <c r="T609" i="8"/>
  <c r="Z609" i="8" s="1"/>
  <c r="V611" i="8"/>
  <c r="AB611" i="8" s="1"/>
  <c r="U609" i="8"/>
  <c r="AA609" i="8" s="1"/>
  <c r="T612" i="8"/>
  <c r="Z612" i="8" s="1"/>
  <c r="V609" i="8"/>
  <c r="AB609" i="8" s="1"/>
  <c r="U612" i="8"/>
  <c r="AA612" i="8" s="1"/>
  <c r="T607" i="8"/>
  <c r="Z607" i="8" s="1"/>
  <c r="T610" i="8"/>
  <c r="Z610" i="8" s="1"/>
  <c r="U443" i="8"/>
  <c r="AA443" i="8" s="1"/>
  <c r="AE443" i="8"/>
  <c r="U446" i="8"/>
  <c r="AA446" i="8" s="1"/>
  <c r="T447" i="8"/>
  <c r="Z447" i="8" s="1"/>
  <c r="U447" i="8"/>
  <c r="AA447" i="8" s="1"/>
  <c r="T445" i="8"/>
  <c r="Z445" i="8" s="1"/>
  <c r="V447" i="8"/>
  <c r="AB447" i="8" s="1"/>
  <c r="U445" i="8"/>
  <c r="AA445" i="8" s="1"/>
  <c r="T448" i="8"/>
  <c r="Z448" i="8" s="1"/>
  <c r="V445" i="8"/>
  <c r="AB445" i="8" s="1"/>
  <c r="U448" i="8"/>
  <c r="AA448" i="8" s="1"/>
  <c r="T443" i="8"/>
  <c r="Z443" i="8" s="1"/>
  <c r="T446" i="8"/>
  <c r="Z446" i="8" s="1"/>
  <c r="V357" i="8"/>
  <c r="AB357" i="8" s="1"/>
  <c r="V355" i="8"/>
  <c r="AB355" i="8" s="1"/>
  <c r="U355" i="8"/>
  <c r="AA355" i="8" s="1"/>
  <c r="V352" i="8"/>
  <c r="AB352" i="8" s="1"/>
  <c r="U352" i="8"/>
  <c r="AA352" i="8" s="1"/>
  <c r="T356" i="8"/>
  <c r="Z356" i="8" s="1"/>
  <c r="U356" i="8"/>
  <c r="AA356" i="8" s="1"/>
  <c r="T354" i="8"/>
  <c r="Z354" i="8" s="1"/>
  <c r="V356" i="8"/>
  <c r="AB356" i="8" s="1"/>
  <c r="U354" i="8"/>
  <c r="AA354" i="8" s="1"/>
  <c r="T357" i="8"/>
  <c r="Z357" i="8" s="1"/>
  <c r="V354" i="8"/>
  <c r="AB354" i="8" s="1"/>
  <c r="U357" i="8"/>
  <c r="AA357" i="8" s="1"/>
  <c r="T352" i="8"/>
  <c r="Z352" i="8" s="1"/>
  <c r="T355" i="8"/>
  <c r="Z355" i="8" s="1"/>
  <c r="V254" i="8"/>
  <c r="AB254" i="8" s="1"/>
  <c r="U253" i="8"/>
  <c r="AA253" i="8" s="1"/>
  <c r="V251" i="8"/>
  <c r="AB251" i="8" s="1"/>
  <c r="U254" i="8"/>
  <c r="AA254" i="8" s="1"/>
  <c r="V252" i="8"/>
  <c r="AB252" i="8" s="1"/>
  <c r="V249" i="8"/>
  <c r="AB249" i="8" s="1"/>
  <c r="U249" i="8"/>
  <c r="AA249" i="8" s="1"/>
  <c r="AE249" i="8"/>
  <c r="U252" i="8"/>
  <c r="AA252" i="8" s="1"/>
  <c r="T253" i="8"/>
  <c r="Z253" i="8" s="1"/>
  <c r="T251" i="8"/>
  <c r="Z251" i="8" s="1"/>
  <c r="V253" i="8"/>
  <c r="AB253" i="8" s="1"/>
  <c r="U251" i="8"/>
  <c r="AA251" i="8" s="1"/>
  <c r="T254" i="8"/>
  <c r="Z254" i="8" s="1"/>
  <c r="T249" i="8"/>
  <c r="Z249" i="8" s="1"/>
  <c r="T252" i="8"/>
  <c r="Z252" i="8" s="1"/>
  <c r="V139" i="8"/>
  <c r="AB139" i="8" s="1"/>
  <c r="U138" i="8"/>
  <c r="AA138" i="8" s="1"/>
  <c r="V136" i="8"/>
  <c r="AB136" i="8" s="1"/>
  <c r="U139" i="8"/>
  <c r="AA139" i="8" s="1"/>
  <c r="V137" i="8"/>
  <c r="AB137" i="8" s="1"/>
  <c r="V134" i="8"/>
  <c r="AB134" i="8" s="1"/>
  <c r="U134" i="8"/>
  <c r="AA134" i="8" s="1"/>
  <c r="AE134" i="8"/>
  <c r="U137" i="8"/>
  <c r="AA137" i="8" s="1"/>
  <c r="T138" i="8"/>
  <c r="Z138" i="8" s="1"/>
  <c r="T136" i="8"/>
  <c r="Z136" i="8" s="1"/>
  <c r="V138" i="8"/>
  <c r="AB138" i="8" s="1"/>
  <c r="U136" i="8"/>
  <c r="AA136" i="8" s="1"/>
  <c r="T139" i="8"/>
  <c r="Z139" i="8" s="1"/>
  <c r="T134" i="8"/>
  <c r="Z134" i="8" s="1"/>
  <c r="T137" i="8"/>
  <c r="Z137" i="8" s="1"/>
  <c r="AE243" i="8"/>
  <c r="V349" i="8"/>
  <c r="AB349" i="8" s="1"/>
  <c r="V346" i="8"/>
  <c r="AB346" i="8" s="1"/>
  <c r="U349" i="8"/>
  <c r="AA349" i="8" s="1"/>
  <c r="AE347" i="8"/>
  <c r="T350" i="8"/>
  <c r="Z350" i="8" s="1"/>
  <c r="U350" i="8"/>
  <c r="AA350" i="8" s="1"/>
  <c r="T348" i="8"/>
  <c r="Z348" i="8" s="1"/>
  <c r="V350" i="8"/>
  <c r="AB350" i="8" s="1"/>
  <c r="U348" i="8"/>
  <c r="AA348" i="8" s="1"/>
  <c r="T351" i="8"/>
  <c r="Z351" i="8" s="1"/>
  <c r="T346" i="8"/>
  <c r="Z346" i="8" s="1"/>
  <c r="V348" i="8"/>
  <c r="AB348" i="8" s="1"/>
  <c r="U351" i="8"/>
  <c r="AA351" i="8" s="1"/>
  <c r="U346" i="8"/>
  <c r="AA346" i="8" s="1"/>
  <c r="T349" i="8"/>
  <c r="Z349" i="8" s="1"/>
  <c r="V248" i="8"/>
  <c r="AB248" i="8" s="1"/>
  <c r="V246" i="8"/>
  <c r="AB246" i="8" s="1"/>
  <c r="AE990" i="8"/>
  <c r="V243" i="8"/>
  <c r="AB243" i="8" s="1"/>
  <c r="U246" i="8"/>
  <c r="AA246" i="8" s="1"/>
  <c r="T247" i="8"/>
  <c r="Z247" i="8" s="1"/>
  <c r="U247" i="8"/>
  <c r="AA247" i="8" s="1"/>
  <c r="T245" i="8"/>
  <c r="Z245" i="8" s="1"/>
  <c r="V247" i="8"/>
  <c r="AB247" i="8" s="1"/>
  <c r="U245" i="8"/>
  <c r="AA245" i="8" s="1"/>
  <c r="T248" i="8"/>
  <c r="Z248" i="8" s="1"/>
  <c r="T243" i="8"/>
  <c r="Z243" i="8" s="1"/>
  <c r="V245" i="8"/>
  <c r="AB245" i="8" s="1"/>
  <c r="U248" i="8"/>
  <c r="AA248" i="8" s="1"/>
  <c r="U243" i="8"/>
  <c r="AA243" i="8" s="1"/>
  <c r="T246" i="8"/>
  <c r="Z246" i="8" s="1"/>
  <c r="V133" i="8"/>
  <c r="AB133" i="8" s="1"/>
  <c r="V131" i="8"/>
  <c r="AB131" i="8" s="1"/>
  <c r="V128" i="8"/>
  <c r="AB128" i="8" s="1"/>
  <c r="T132" i="8"/>
  <c r="Z132" i="8" s="1"/>
  <c r="U131" i="8"/>
  <c r="AA131" i="8" s="1"/>
  <c r="U132" i="8"/>
  <c r="AA132" i="8" s="1"/>
  <c r="T130" i="8"/>
  <c r="Z130" i="8" s="1"/>
  <c r="V132" i="8"/>
  <c r="AB132" i="8" s="1"/>
  <c r="U130" i="8"/>
  <c r="AA130" i="8" s="1"/>
  <c r="T133" i="8"/>
  <c r="Z133" i="8" s="1"/>
  <c r="AE129" i="8"/>
  <c r="T128" i="8"/>
  <c r="Z128" i="8" s="1"/>
  <c r="V130" i="8"/>
  <c r="AB130" i="8" s="1"/>
  <c r="U133" i="8"/>
  <c r="AA133" i="8" s="1"/>
  <c r="U128" i="8"/>
  <c r="AA128" i="8" s="1"/>
  <c r="T131" i="8"/>
  <c r="Z131" i="8" s="1"/>
  <c r="AE766" i="8"/>
  <c r="V345" i="8"/>
  <c r="AB345" i="8" s="1"/>
  <c r="V340" i="8"/>
  <c r="AB340" i="8" s="1"/>
  <c r="V606" i="8"/>
  <c r="AB606" i="8" s="1"/>
  <c r="U601" i="8"/>
  <c r="V127" i="8"/>
  <c r="AB127" i="8" s="1"/>
  <c r="V124" i="8"/>
  <c r="AB124" i="8" s="1"/>
  <c r="U122" i="8"/>
  <c r="AA122" i="8" s="1"/>
  <c r="T125" i="8"/>
  <c r="Z125" i="8" s="1"/>
  <c r="T122" i="8"/>
  <c r="Z122" i="8" s="1"/>
  <c r="T769" i="8"/>
  <c r="Z769" i="8" s="1"/>
  <c r="AE601" i="8"/>
  <c r="U769" i="8"/>
  <c r="AA769" i="8" s="1"/>
  <c r="U242" i="8"/>
  <c r="AA242" i="8" s="1"/>
  <c r="T765" i="8"/>
  <c r="Z765" i="8" s="1"/>
  <c r="V765" i="8"/>
  <c r="AB765" i="8" s="1"/>
  <c r="T768" i="8"/>
  <c r="Z768" i="8" s="1"/>
  <c r="V768" i="8"/>
  <c r="AB768" i="8" s="1"/>
  <c r="T237" i="8"/>
  <c r="Z237" i="8" s="1"/>
  <c r="V995" i="8"/>
  <c r="AB995" i="8" s="1"/>
  <c r="T993" i="8"/>
  <c r="Z993" i="8" s="1"/>
  <c r="T990" i="8"/>
  <c r="Z990" i="8" s="1"/>
  <c r="U990" i="8"/>
  <c r="AA990" i="8" s="1"/>
  <c r="U995" i="8"/>
  <c r="AA995" i="8" s="1"/>
  <c r="V992" i="8"/>
  <c r="AB992" i="8" s="1"/>
  <c r="T995" i="8"/>
  <c r="Z995" i="8" s="1"/>
  <c r="U992" i="8"/>
  <c r="AA992" i="8" s="1"/>
  <c r="U993" i="8"/>
  <c r="AA993" i="8" s="1"/>
  <c r="V994" i="8"/>
  <c r="AB994" i="8" s="1"/>
  <c r="T992" i="8"/>
  <c r="Z992" i="8" s="1"/>
  <c r="U994" i="8"/>
  <c r="AA994" i="8" s="1"/>
  <c r="T994" i="8"/>
  <c r="Z994" i="8" s="1"/>
  <c r="V993" i="8"/>
  <c r="AB993" i="8" s="1"/>
  <c r="V990" i="8"/>
  <c r="AB990" i="8" s="1"/>
  <c r="U765" i="8"/>
  <c r="AA765" i="8" s="1"/>
  <c r="U768" i="8"/>
  <c r="AA768" i="8" s="1"/>
  <c r="T767" i="8"/>
  <c r="Z767" i="8" s="1"/>
  <c r="V769" i="8"/>
  <c r="AB769" i="8" s="1"/>
  <c r="U767" i="8"/>
  <c r="AA767" i="8" s="1"/>
  <c r="T770" i="8"/>
  <c r="Z770" i="8" s="1"/>
  <c r="V767" i="8"/>
  <c r="AB767" i="8" s="1"/>
  <c r="U770" i="8"/>
  <c r="AA770" i="8" s="1"/>
  <c r="AB849" i="8"/>
  <c r="AE123" i="8"/>
  <c r="V343" i="8"/>
  <c r="AB343" i="8" s="1"/>
  <c r="T601" i="8"/>
  <c r="Z601" i="8" s="1"/>
  <c r="Z242" i="8"/>
  <c r="V239" i="8"/>
  <c r="AB239" i="8" s="1"/>
  <c r="V242" i="8"/>
  <c r="AB242" i="8" s="1"/>
  <c r="V122" i="8"/>
  <c r="AB122" i="8" s="1"/>
  <c r="T126" i="8"/>
  <c r="Z126" i="8" s="1"/>
  <c r="T241" i="8"/>
  <c r="Z241" i="8" s="1"/>
  <c r="T604" i="8"/>
  <c r="Z604" i="8" s="1"/>
  <c r="U606" i="8"/>
  <c r="AA606" i="8" s="1"/>
  <c r="U241" i="8"/>
  <c r="AA241" i="8" s="1"/>
  <c r="V125" i="8"/>
  <c r="AB125" i="8" s="1"/>
  <c r="V237" i="8"/>
  <c r="AB237" i="8" s="1"/>
  <c r="T240" i="8"/>
  <c r="Z240" i="8" s="1"/>
  <c r="V240" i="8"/>
  <c r="AB240" i="8" s="1"/>
  <c r="AE437" i="8"/>
  <c r="AA601" i="8"/>
  <c r="V603" i="8"/>
  <c r="AB603" i="8" s="1"/>
  <c r="U604" i="8"/>
  <c r="AA604" i="8" s="1"/>
  <c r="V601" i="8"/>
  <c r="AB601" i="8" s="1"/>
  <c r="V604" i="8"/>
  <c r="AB604" i="8" s="1"/>
  <c r="T605" i="8"/>
  <c r="Z605" i="8" s="1"/>
  <c r="U605" i="8"/>
  <c r="AA605" i="8" s="1"/>
  <c r="T603" i="8"/>
  <c r="Z603" i="8" s="1"/>
  <c r="V605" i="8"/>
  <c r="AB605" i="8" s="1"/>
  <c r="U603" i="8"/>
  <c r="AA603" i="8" s="1"/>
  <c r="T606" i="8"/>
  <c r="Z606" i="8" s="1"/>
  <c r="V442" i="8"/>
  <c r="AB442" i="8" s="1"/>
  <c r="V440" i="8"/>
  <c r="AB440" i="8" s="1"/>
  <c r="U440" i="8"/>
  <c r="AA440" i="8" s="1"/>
  <c r="V437" i="8"/>
  <c r="AB437" i="8" s="1"/>
  <c r="U437" i="8"/>
  <c r="AA437" i="8" s="1"/>
  <c r="T441" i="8"/>
  <c r="Z441" i="8" s="1"/>
  <c r="U441" i="8"/>
  <c r="AA441" i="8" s="1"/>
  <c r="T439" i="8"/>
  <c r="Z439" i="8" s="1"/>
  <c r="V441" i="8"/>
  <c r="AB441" i="8" s="1"/>
  <c r="U439" i="8"/>
  <c r="AA439" i="8" s="1"/>
  <c r="T442" i="8"/>
  <c r="Z442" i="8" s="1"/>
  <c r="V439" i="8"/>
  <c r="AB439" i="8" s="1"/>
  <c r="U442" i="8"/>
  <c r="AA442" i="8" s="1"/>
  <c r="T437" i="8"/>
  <c r="Z437" i="8" s="1"/>
  <c r="T440" i="8"/>
  <c r="Z440" i="8" s="1"/>
  <c r="U340" i="8"/>
  <c r="AA340" i="8" s="1"/>
  <c r="AE340" i="8"/>
  <c r="U343" i="8"/>
  <c r="AA343" i="8" s="1"/>
  <c r="T344" i="8"/>
  <c r="Z344" i="8" s="1"/>
  <c r="U344" i="8"/>
  <c r="AA344" i="8" s="1"/>
  <c r="T342" i="8"/>
  <c r="Z342" i="8" s="1"/>
  <c r="V344" i="8"/>
  <c r="AB344" i="8" s="1"/>
  <c r="U342" i="8"/>
  <c r="AA342" i="8" s="1"/>
  <c r="T345" i="8"/>
  <c r="Z345" i="8" s="1"/>
  <c r="V342" i="8"/>
  <c r="AB342" i="8" s="1"/>
  <c r="U345" i="8"/>
  <c r="AA345" i="8" s="1"/>
  <c r="T340" i="8"/>
  <c r="Z340" i="8" s="1"/>
  <c r="T343" i="8"/>
  <c r="Z343" i="8" s="1"/>
  <c r="U237" i="8"/>
  <c r="AA237" i="8" s="1"/>
  <c r="AE237" i="8"/>
  <c r="U240" i="8"/>
  <c r="AA240" i="8" s="1"/>
  <c r="T239" i="8"/>
  <c r="Z239" i="8" s="1"/>
  <c r="V241" i="8"/>
  <c r="AB241" i="8" s="1"/>
  <c r="U239" i="8"/>
  <c r="AA239" i="8" s="1"/>
  <c r="U125" i="8"/>
  <c r="AA125" i="8" s="1"/>
  <c r="U126" i="8"/>
  <c r="AA126" i="8" s="1"/>
  <c r="T124" i="8"/>
  <c r="Z124" i="8" s="1"/>
  <c r="V126" i="8"/>
  <c r="AB126" i="8" s="1"/>
  <c r="U124" i="8"/>
  <c r="AA124" i="8" s="1"/>
  <c r="T127" i="8"/>
  <c r="Z127" i="8" s="1"/>
  <c r="U127" i="8"/>
  <c r="AA127" i="8" s="1"/>
  <c r="AB983" i="8"/>
  <c r="AE1069" i="8"/>
  <c r="AE984" i="8"/>
  <c r="AE759" i="8"/>
  <c r="V1074" i="8"/>
  <c r="AB1074" i="8" s="1"/>
  <c r="U1072" i="8"/>
  <c r="AA1072" i="8" s="1"/>
  <c r="V1069" i="8"/>
  <c r="AB1069" i="8" s="1"/>
  <c r="U1069" i="8"/>
  <c r="AA1069" i="8" s="1"/>
  <c r="V1071" i="8"/>
  <c r="AB1071" i="8" s="1"/>
  <c r="T1069" i="8"/>
  <c r="Z1069" i="8" s="1"/>
  <c r="V1072" i="8"/>
  <c r="AB1072" i="8" s="1"/>
  <c r="T1073" i="8"/>
  <c r="Z1073" i="8" s="1"/>
  <c r="U1073" i="8"/>
  <c r="AA1073" i="8" s="1"/>
  <c r="T1071" i="8"/>
  <c r="Z1071" i="8" s="1"/>
  <c r="V1073" i="8"/>
  <c r="AB1073" i="8" s="1"/>
  <c r="U1071" i="8"/>
  <c r="AA1071" i="8" s="1"/>
  <c r="T1074" i="8"/>
  <c r="Z1074" i="8" s="1"/>
  <c r="U1074" i="8"/>
  <c r="AA1074" i="8" s="1"/>
  <c r="T1072" i="8"/>
  <c r="Z1072" i="8" s="1"/>
  <c r="V989" i="8"/>
  <c r="AB989" i="8" s="1"/>
  <c r="V986" i="8"/>
  <c r="AB986" i="8" s="1"/>
  <c r="U984" i="8"/>
  <c r="AA984" i="8" s="1"/>
  <c r="U986" i="8"/>
  <c r="AA986" i="8" s="1"/>
  <c r="T984" i="8"/>
  <c r="Z984" i="8" s="1"/>
  <c r="V987" i="8"/>
  <c r="AB987" i="8" s="1"/>
  <c r="U987" i="8"/>
  <c r="AA987" i="8" s="1"/>
  <c r="T987" i="8"/>
  <c r="Z987" i="8" s="1"/>
  <c r="V984" i="8"/>
  <c r="AB984" i="8" s="1"/>
  <c r="T988" i="8"/>
  <c r="Z988" i="8" s="1"/>
  <c r="U988" i="8"/>
  <c r="AA988" i="8" s="1"/>
  <c r="T986" i="8"/>
  <c r="Z986" i="8" s="1"/>
  <c r="V988" i="8"/>
  <c r="AB988" i="8" s="1"/>
  <c r="T989" i="8"/>
  <c r="Z989" i="8" s="1"/>
  <c r="U989" i="8"/>
  <c r="AA989" i="8" s="1"/>
  <c r="AE844" i="8"/>
  <c r="T844" i="8"/>
  <c r="Z844" i="8" s="1"/>
  <c r="U844" i="8"/>
  <c r="AA844" i="8" s="1"/>
  <c r="V847" i="8"/>
  <c r="AB847" i="8" s="1"/>
  <c r="V844" i="8"/>
  <c r="AB844" i="8" s="1"/>
  <c r="U847" i="8"/>
  <c r="AA847" i="8" s="1"/>
  <c r="T848" i="8"/>
  <c r="Z848" i="8" s="1"/>
  <c r="U848" i="8"/>
  <c r="AA848" i="8" s="1"/>
  <c r="T846" i="8"/>
  <c r="Z846" i="8" s="1"/>
  <c r="V848" i="8"/>
  <c r="AB848" i="8" s="1"/>
  <c r="U846" i="8"/>
  <c r="AA846" i="8" s="1"/>
  <c r="T849" i="8"/>
  <c r="Z849" i="8" s="1"/>
  <c r="V846" i="8"/>
  <c r="AB846" i="8" s="1"/>
  <c r="U849" i="8"/>
  <c r="AA849" i="8" s="1"/>
  <c r="T847" i="8"/>
  <c r="Z847" i="8" s="1"/>
  <c r="V764" i="8"/>
  <c r="AB764" i="8" s="1"/>
  <c r="U762" i="8"/>
  <c r="AA762" i="8" s="1"/>
  <c r="V759" i="8"/>
  <c r="AB759" i="8" s="1"/>
  <c r="U759" i="8"/>
  <c r="AA759" i="8" s="1"/>
  <c r="T759" i="8"/>
  <c r="Z759" i="8" s="1"/>
  <c r="V762" i="8"/>
  <c r="AB762" i="8" s="1"/>
  <c r="T763" i="8"/>
  <c r="Z763" i="8" s="1"/>
  <c r="U763" i="8"/>
  <c r="AA763" i="8" s="1"/>
  <c r="T761" i="8"/>
  <c r="Z761" i="8" s="1"/>
  <c r="V763" i="8"/>
  <c r="AB763" i="8" s="1"/>
  <c r="U761" i="8"/>
  <c r="AA761" i="8" s="1"/>
  <c r="T764" i="8"/>
  <c r="Z764" i="8" s="1"/>
  <c r="V761" i="8"/>
  <c r="AB761" i="8" s="1"/>
  <c r="U764" i="8"/>
  <c r="AA764" i="8" s="1"/>
  <c r="T762" i="8"/>
  <c r="Z762" i="8" s="1"/>
  <c r="AE516" i="8"/>
  <c r="AB236" i="8"/>
  <c r="AE595" i="8"/>
  <c r="V685" i="8"/>
  <c r="AB685" i="8" s="1"/>
  <c r="V683" i="8"/>
  <c r="AB683" i="8" s="1"/>
  <c r="T680" i="8"/>
  <c r="Z680" i="8" s="1"/>
  <c r="V682" i="8"/>
  <c r="AB682" i="8" s="1"/>
  <c r="V680" i="8"/>
  <c r="AB680" i="8" s="1"/>
  <c r="U683" i="8"/>
  <c r="AA683" i="8" s="1"/>
  <c r="AE681" i="8"/>
  <c r="T684" i="8"/>
  <c r="Z684" i="8" s="1"/>
  <c r="U684" i="8"/>
  <c r="AA684" i="8" s="1"/>
  <c r="T682" i="8"/>
  <c r="Z682" i="8" s="1"/>
  <c r="V684" i="8"/>
  <c r="AB684" i="8" s="1"/>
  <c r="U682" i="8"/>
  <c r="AA682" i="8" s="1"/>
  <c r="T685" i="8"/>
  <c r="Z685" i="8" s="1"/>
  <c r="U685" i="8"/>
  <c r="AA685" i="8" s="1"/>
  <c r="U680" i="8"/>
  <c r="AA680" i="8" s="1"/>
  <c r="T683" i="8"/>
  <c r="Z683" i="8" s="1"/>
  <c r="V600" i="8"/>
  <c r="AB600" i="8" s="1"/>
  <c r="V598" i="8"/>
  <c r="AB598" i="8" s="1"/>
  <c r="U595" i="8"/>
  <c r="AA595" i="8" s="1"/>
  <c r="V595" i="8"/>
  <c r="AB595" i="8" s="1"/>
  <c r="U598" i="8"/>
  <c r="AA598" i="8" s="1"/>
  <c r="T599" i="8"/>
  <c r="Z599" i="8" s="1"/>
  <c r="U599" i="8"/>
  <c r="AA599" i="8" s="1"/>
  <c r="T597" i="8"/>
  <c r="Z597" i="8" s="1"/>
  <c r="V599" i="8"/>
  <c r="AB599" i="8" s="1"/>
  <c r="U597" i="8"/>
  <c r="AA597" i="8" s="1"/>
  <c r="T600" i="8"/>
  <c r="Z600" i="8" s="1"/>
  <c r="T595" i="8"/>
  <c r="Z595" i="8" s="1"/>
  <c r="V597" i="8"/>
  <c r="AB597" i="8" s="1"/>
  <c r="U600" i="8"/>
  <c r="AA600" i="8" s="1"/>
  <c r="T598" i="8"/>
  <c r="Z598" i="8" s="1"/>
  <c r="V521" i="8"/>
  <c r="AB521" i="8" s="1"/>
  <c r="T519" i="8"/>
  <c r="Z519" i="8" s="1"/>
  <c r="U516" i="8"/>
  <c r="AA516" i="8" s="1"/>
  <c r="U521" i="8"/>
  <c r="AA521" i="8" s="1"/>
  <c r="V518" i="8"/>
  <c r="AB518" i="8" s="1"/>
  <c r="T516" i="8"/>
  <c r="Z516" i="8" s="1"/>
  <c r="T521" i="8"/>
  <c r="Z521" i="8" s="1"/>
  <c r="U518" i="8"/>
  <c r="AA518" i="8" s="1"/>
  <c r="V520" i="8"/>
  <c r="AB520" i="8" s="1"/>
  <c r="T518" i="8"/>
  <c r="Z518" i="8" s="1"/>
  <c r="V519" i="8"/>
  <c r="AB519" i="8" s="1"/>
  <c r="U520" i="8"/>
  <c r="AA520" i="8" s="1"/>
  <c r="T520" i="8"/>
  <c r="Z520" i="8" s="1"/>
  <c r="U519" i="8"/>
  <c r="AA519" i="8" s="1"/>
  <c r="V516" i="8"/>
  <c r="AB516" i="8" s="1"/>
  <c r="V339" i="8"/>
  <c r="AB339" i="8" s="1"/>
  <c r="V337" i="8"/>
  <c r="AB337" i="8" s="1"/>
  <c r="V334" i="8"/>
  <c r="AB334" i="8" s="1"/>
  <c r="T338" i="8"/>
  <c r="Z338" i="8" s="1"/>
  <c r="AE431" i="8"/>
  <c r="AE116" i="8"/>
  <c r="V436" i="8"/>
  <c r="AB436" i="8" s="1"/>
  <c r="T434" i="8"/>
  <c r="Z434" i="8" s="1"/>
  <c r="U431" i="8"/>
  <c r="AA431" i="8" s="1"/>
  <c r="V431" i="8"/>
  <c r="AB431" i="8" s="1"/>
  <c r="U436" i="8"/>
  <c r="AA436" i="8" s="1"/>
  <c r="V433" i="8"/>
  <c r="AB433" i="8" s="1"/>
  <c r="T431" i="8"/>
  <c r="Z431" i="8" s="1"/>
  <c r="T436" i="8"/>
  <c r="Z436" i="8" s="1"/>
  <c r="U433" i="8"/>
  <c r="AA433" i="8" s="1"/>
  <c r="V435" i="8"/>
  <c r="AB435" i="8" s="1"/>
  <c r="T433" i="8"/>
  <c r="Z433" i="8" s="1"/>
  <c r="U434" i="8"/>
  <c r="AA434" i="8" s="1"/>
  <c r="U435" i="8"/>
  <c r="AA435" i="8" s="1"/>
  <c r="T435" i="8"/>
  <c r="Z435" i="8" s="1"/>
  <c r="V434" i="8"/>
  <c r="AB434" i="8" s="1"/>
  <c r="AE335" i="8"/>
  <c r="U337" i="8"/>
  <c r="AA337" i="8" s="1"/>
  <c r="U338" i="8"/>
  <c r="AA338" i="8" s="1"/>
  <c r="T336" i="8"/>
  <c r="Z336" i="8" s="1"/>
  <c r="V338" i="8"/>
  <c r="AB338" i="8" s="1"/>
  <c r="U336" i="8"/>
  <c r="AA336" i="8" s="1"/>
  <c r="T339" i="8"/>
  <c r="Z339" i="8" s="1"/>
  <c r="T334" i="8"/>
  <c r="Z334" i="8" s="1"/>
  <c r="V336" i="8"/>
  <c r="AB336" i="8" s="1"/>
  <c r="U339" i="8"/>
  <c r="AA339" i="8" s="1"/>
  <c r="U334" i="8"/>
  <c r="AA334" i="8" s="1"/>
  <c r="T337" i="8"/>
  <c r="Z337" i="8" s="1"/>
  <c r="V121" i="8"/>
  <c r="AB121" i="8" s="1"/>
  <c r="T119" i="8"/>
  <c r="Z119" i="8" s="1"/>
  <c r="U116" i="8"/>
  <c r="AA116" i="8" s="1"/>
  <c r="U121" i="8"/>
  <c r="AA121" i="8" s="1"/>
  <c r="V118" i="8"/>
  <c r="AB118" i="8" s="1"/>
  <c r="T116" i="8"/>
  <c r="Z116" i="8" s="1"/>
  <c r="V119" i="8"/>
  <c r="AB119" i="8" s="1"/>
  <c r="T121" i="8"/>
  <c r="Z121" i="8" s="1"/>
  <c r="U118" i="8"/>
  <c r="AA118" i="8" s="1"/>
  <c r="V120" i="8"/>
  <c r="AB120" i="8" s="1"/>
  <c r="T118" i="8"/>
  <c r="Z118" i="8" s="1"/>
  <c r="U120" i="8"/>
  <c r="AA120" i="8" s="1"/>
  <c r="T120" i="8"/>
  <c r="Z120" i="8" s="1"/>
  <c r="U119" i="8"/>
  <c r="AA119" i="8" s="1"/>
  <c r="V116" i="8"/>
  <c r="AB116" i="8" s="1"/>
  <c r="AE232" i="8"/>
  <c r="T235" i="8"/>
  <c r="Z235" i="8" s="1"/>
  <c r="V234" i="8"/>
  <c r="AB234" i="8" s="1"/>
  <c r="V231" i="8"/>
  <c r="AB231" i="8" s="1"/>
  <c r="U234" i="8"/>
  <c r="AA234" i="8" s="1"/>
  <c r="U235" i="8"/>
  <c r="AA235" i="8" s="1"/>
  <c r="T233" i="8"/>
  <c r="Z233" i="8" s="1"/>
  <c r="V235" i="8"/>
  <c r="AB235" i="8" s="1"/>
  <c r="U233" i="8"/>
  <c r="AA233" i="8" s="1"/>
  <c r="T236" i="8"/>
  <c r="Z236" i="8" s="1"/>
  <c r="T231" i="8"/>
  <c r="Z231" i="8" s="1"/>
  <c r="V233" i="8"/>
  <c r="AB233" i="8" s="1"/>
  <c r="U236" i="8"/>
  <c r="AA236" i="8" s="1"/>
  <c r="U231" i="8"/>
  <c r="AA231" i="8" s="1"/>
  <c r="T234" i="8"/>
  <c r="Z234" i="8" s="1"/>
  <c r="V758" i="8"/>
  <c r="AB758" i="8" s="1"/>
  <c r="V753" i="8"/>
  <c r="AB753" i="8" s="1"/>
  <c r="U753" i="8"/>
  <c r="AA753" i="8" s="1"/>
  <c r="T757" i="8"/>
  <c r="Z757" i="8" s="1"/>
  <c r="V843" i="8"/>
  <c r="AB843" i="8" s="1"/>
  <c r="V838" i="8"/>
  <c r="AB838" i="8" s="1"/>
  <c r="V841" i="8"/>
  <c r="AB841" i="8" s="1"/>
  <c r="V1068" i="8"/>
  <c r="AB1068" i="8" s="1"/>
  <c r="U1063" i="8"/>
  <c r="AA1063" i="8" s="1"/>
  <c r="U1066" i="8"/>
  <c r="AA1066" i="8" s="1"/>
  <c r="T1063" i="8"/>
  <c r="Z1063" i="8" s="1"/>
  <c r="V1065" i="8"/>
  <c r="AB1065" i="8" s="1"/>
  <c r="AE753" i="8"/>
  <c r="V981" i="8"/>
  <c r="AB981" i="8" s="1"/>
  <c r="V978" i="8"/>
  <c r="AB978" i="8" s="1"/>
  <c r="AE1063" i="8"/>
  <c r="V1063" i="8"/>
  <c r="AB1063" i="8" s="1"/>
  <c r="V1066" i="8"/>
  <c r="AB1066" i="8" s="1"/>
  <c r="T1067" i="8"/>
  <c r="Z1067" i="8" s="1"/>
  <c r="U1067" i="8"/>
  <c r="AA1067" i="8" s="1"/>
  <c r="T1065" i="8"/>
  <c r="Z1065" i="8" s="1"/>
  <c r="V1067" i="8"/>
  <c r="AB1067" i="8" s="1"/>
  <c r="U1065" i="8"/>
  <c r="AA1065" i="8" s="1"/>
  <c r="T1068" i="8"/>
  <c r="Z1068" i="8" s="1"/>
  <c r="U1068" i="8"/>
  <c r="AA1068" i="8" s="1"/>
  <c r="T1066" i="8"/>
  <c r="Z1066" i="8" s="1"/>
  <c r="AF1066" i="8" s="1"/>
  <c r="U978" i="8"/>
  <c r="AA978" i="8" s="1"/>
  <c r="AE978" i="8"/>
  <c r="U981" i="8"/>
  <c r="AA981" i="8" s="1"/>
  <c r="T982" i="8"/>
  <c r="Z982" i="8" s="1"/>
  <c r="U982" i="8"/>
  <c r="AA982" i="8" s="1"/>
  <c r="T980" i="8"/>
  <c r="Z980" i="8" s="1"/>
  <c r="V982" i="8"/>
  <c r="AB982" i="8" s="1"/>
  <c r="U980" i="8"/>
  <c r="AA980" i="8" s="1"/>
  <c r="T983" i="8"/>
  <c r="Z983" i="8" s="1"/>
  <c r="V980" i="8"/>
  <c r="AB980" i="8" s="1"/>
  <c r="U983" i="8"/>
  <c r="AA983" i="8" s="1"/>
  <c r="T978" i="8"/>
  <c r="Z978" i="8" s="1"/>
  <c r="T981" i="8"/>
  <c r="Z981" i="8" s="1"/>
  <c r="U838" i="8"/>
  <c r="AA838" i="8" s="1"/>
  <c r="AE838" i="8"/>
  <c r="U841" i="8"/>
  <c r="AA841" i="8" s="1"/>
  <c r="T842" i="8"/>
  <c r="Z842" i="8" s="1"/>
  <c r="U842" i="8"/>
  <c r="AA842" i="8" s="1"/>
  <c r="T840" i="8"/>
  <c r="Z840" i="8" s="1"/>
  <c r="V842" i="8"/>
  <c r="AB842" i="8" s="1"/>
  <c r="U840" i="8"/>
  <c r="AA840" i="8" s="1"/>
  <c r="T843" i="8"/>
  <c r="Z843" i="8" s="1"/>
  <c r="V840" i="8"/>
  <c r="AB840" i="8" s="1"/>
  <c r="U843" i="8"/>
  <c r="AA843" i="8" s="1"/>
  <c r="T838" i="8"/>
  <c r="Z838" i="8" s="1"/>
  <c r="T841" i="8"/>
  <c r="Z841" i="8" s="1"/>
  <c r="AB327" i="8"/>
  <c r="AE675" i="8"/>
  <c r="AE219" i="8"/>
  <c r="U756" i="8"/>
  <c r="AA756" i="8" s="1"/>
  <c r="V756" i="8"/>
  <c r="AB756" i="8" s="1"/>
  <c r="AE590" i="8"/>
  <c r="U757" i="8"/>
  <c r="AA757" i="8" s="1"/>
  <c r="T755" i="8"/>
  <c r="Z755" i="8" s="1"/>
  <c r="V757" i="8"/>
  <c r="AB757" i="8" s="1"/>
  <c r="U755" i="8"/>
  <c r="AA755" i="8" s="1"/>
  <c r="T758" i="8"/>
  <c r="Z758" i="8" s="1"/>
  <c r="V755" i="8"/>
  <c r="AB755" i="8" s="1"/>
  <c r="U758" i="8"/>
  <c r="AA758" i="8" s="1"/>
  <c r="T753" i="8"/>
  <c r="Z753" i="8" s="1"/>
  <c r="T756" i="8"/>
  <c r="Z756" i="8" s="1"/>
  <c r="V679" i="8"/>
  <c r="AB679" i="8" s="1"/>
  <c r="T677" i="8"/>
  <c r="Z677" i="8" s="1"/>
  <c r="T674" i="8"/>
  <c r="Z674" i="8" s="1"/>
  <c r="V674" i="8"/>
  <c r="AB674" i="8" s="1"/>
  <c r="U679" i="8"/>
  <c r="AA679" i="8" s="1"/>
  <c r="V676" i="8"/>
  <c r="AB676" i="8" s="1"/>
  <c r="T679" i="8"/>
  <c r="Z679" i="8" s="1"/>
  <c r="U676" i="8"/>
  <c r="AA676" i="8" s="1"/>
  <c r="V678" i="8"/>
  <c r="AB678" i="8" s="1"/>
  <c r="T676" i="8"/>
  <c r="Z676" i="8" s="1"/>
  <c r="V677" i="8"/>
  <c r="AB677" i="8" s="1"/>
  <c r="U678" i="8"/>
  <c r="AA678" i="8" s="1"/>
  <c r="T678" i="8"/>
  <c r="Z678" i="8" s="1"/>
  <c r="U677" i="8"/>
  <c r="AA677" i="8" s="1"/>
  <c r="U674" i="8"/>
  <c r="AA674" i="8" s="1"/>
  <c r="AE328" i="8"/>
  <c r="AB230" i="8"/>
  <c r="AB333" i="8"/>
  <c r="V594" i="8"/>
  <c r="AB594" i="8" s="1"/>
  <c r="T592" i="8"/>
  <c r="Z592" i="8" s="1"/>
  <c r="T589" i="8"/>
  <c r="Z589" i="8" s="1"/>
  <c r="U594" i="8"/>
  <c r="AA594" i="8" s="1"/>
  <c r="V591" i="8"/>
  <c r="AB591" i="8" s="1"/>
  <c r="T594" i="8"/>
  <c r="Z594" i="8" s="1"/>
  <c r="U591" i="8"/>
  <c r="AA591" i="8" s="1"/>
  <c r="V593" i="8"/>
  <c r="AB593" i="8" s="1"/>
  <c r="T591" i="8"/>
  <c r="Z591" i="8" s="1"/>
  <c r="V592" i="8"/>
  <c r="AB592" i="8" s="1"/>
  <c r="U593" i="8"/>
  <c r="AA593" i="8" s="1"/>
  <c r="T593" i="8"/>
  <c r="Z593" i="8" s="1"/>
  <c r="U592" i="8"/>
  <c r="AA592" i="8" s="1"/>
  <c r="U589" i="8"/>
  <c r="AA589" i="8" s="1"/>
  <c r="V589" i="8"/>
  <c r="AB589" i="8" s="1"/>
  <c r="AE511" i="8"/>
  <c r="AE425" i="8"/>
  <c r="V515" i="8"/>
  <c r="AB515" i="8" s="1"/>
  <c r="T513" i="8"/>
  <c r="Z513" i="8" s="1"/>
  <c r="T510" i="8"/>
  <c r="Z510" i="8" s="1"/>
  <c r="T514" i="8"/>
  <c r="Z514" i="8" s="1"/>
  <c r="V510" i="8"/>
  <c r="AB510" i="8" s="1"/>
  <c r="U515" i="8"/>
  <c r="AA515" i="8" s="1"/>
  <c r="V512" i="8"/>
  <c r="AB512" i="8" s="1"/>
  <c r="T515" i="8"/>
  <c r="Z515" i="8" s="1"/>
  <c r="U512" i="8"/>
  <c r="AA512" i="8" s="1"/>
  <c r="V514" i="8"/>
  <c r="AB514" i="8" s="1"/>
  <c r="T512" i="8"/>
  <c r="Z512" i="8" s="1"/>
  <c r="U514" i="8"/>
  <c r="AA514" i="8" s="1"/>
  <c r="U513" i="8"/>
  <c r="AA513" i="8" s="1"/>
  <c r="U510" i="8"/>
  <c r="AA510" i="8" s="1"/>
  <c r="V513" i="8"/>
  <c r="AB513" i="8" s="1"/>
  <c r="V430" i="8"/>
  <c r="AB430" i="8" s="1"/>
  <c r="T428" i="8"/>
  <c r="Z428" i="8" s="1"/>
  <c r="T425" i="8"/>
  <c r="Z425" i="8" s="1"/>
  <c r="V425" i="8"/>
  <c r="AB425" i="8" s="1"/>
  <c r="U430" i="8"/>
  <c r="AA430" i="8" s="1"/>
  <c r="V427" i="8"/>
  <c r="AB427" i="8" s="1"/>
  <c r="T430" i="8"/>
  <c r="Z430" i="8" s="1"/>
  <c r="U427" i="8"/>
  <c r="AA427" i="8" s="1"/>
  <c r="V428" i="8"/>
  <c r="AB428" i="8" s="1"/>
  <c r="V429" i="8"/>
  <c r="AB429" i="8" s="1"/>
  <c r="T427" i="8"/>
  <c r="Z427" i="8" s="1"/>
  <c r="U429" i="8"/>
  <c r="AA429" i="8" s="1"/>
  <c r="T429" i="8"/>
  <c r="Z429" i="8" s="1"/>
  <c r="U428" i="8"/>
  <c r="AA428" i="8" s="1"/>
  <c r="U425" i="8"/>
  <c r="AA425" i="8" s="1"/>
  <c r="AE111" i="8"/>
  <c r="T328" i="8"/>
  <c r="Z328" i="8" s="1"/>
  <c r="U328" i="8"/>
  <c r="AA328" i="8" s="1"/>
  <c r="U331" i="8"/>
  <c r="AA331" i="8" s="1"/>
  <c r="V328" i="8"/>
  <c r="AB328" i="8" s="1"/>
  <c r="V331" i="8"/>
  <c r="AB331" i="8" s="1"/>
  <c r="T332" i="8"/>
  <c r="Z332" i="8" s="1"/>
  <c r="U332" i="8"/>
  <c r="AA332" i="8" s="1"/>
  <c r="T330" i="8"/>
  <c r="Z330" i="8" s="1"/>
  <c r="V332" i="8"/>
  <c r="AB332" i="8" s="1"/>
  <c r="U330" i="8"/>
  <c r="AA330" i="8" s="1"/>
  <c r="T333" i="8"/>
  <c r="Z333" i="8" s="1"/>
  <c r="V330" i="8"/>
  <c r="AB330" i="8" s="1"/>
  <c r="U333" i="8"/>
  <c r="AA333" i="8" s="1"/>
  <c r="T331" i="8"/>
  <c r="Z331" i="8" s="1"/>
  <c r="V228" i="8"/>
  <c r="AB228" i="8" s="1"/>
  <c r="V225" i="8"/>
  <c r="AB225" i="8" s="1"/>
  <c r="U225" i="8"/>
  <c r="AA225" i="8" s="1"/>
  <c r="AE225" i="8"/>
  <c r="U228" i="8"/>
  <c r="AA228" i="8" s="1"/>
  <c r="T229" i="8"/>
  <c r="Z229" i="8" s="1"/>
  <c r="U229" i="8"/>
  <c r="AA229" i="8" s="1"/>
  <c r="T227" i="8"/>
  <c r="Z227" i="8" s="1"/>
  <c r="V229" i="8"/>
  <c r="AB229" i="8" s="1"/>
  <c r="U227" i="8"/>
  <c r="AA227" i="8" s="1"/>
  <c r="T230" i="8"/>
  <c r="Z230" i="8" s="1"/>
  <c r="V227" i="8"/>
  <c r="AB227" i="8" s="1"/>
  <c r="U230" i="8"/>
  <c r="AA230" i="8" s="1"/>
  <c r="T225" i="8"/>
  <c r="Z225" i="8" s="1"/>
  <c r="T228" i="8"/>
  <c r="Z228" i="8" s="1"/>
  <c r="V115" i="8"/>
  <c r="AB115" i="8" s="1"/>
  <c r="V113" i="8"/>
  <c r="AB113" i="8" s="1"/>
  <c r="V110" i="8"/>
  <c r="AB110" i="8" s="1"/>
  <c r="T114" i="8"/>
  <c r="Z114" i="8" s="1"/>
  <c r="U110" i="8"/>
  <c r="AA110" i="8" s="1"/>
  <c r="U113" i="8"/>
  <c r="AA113" i="8" s="1"/>
  <c r="U114" i="8"/>
  <c r="AA114" i="8" s="1"/>
  <c r="T112" i="8"/>
  <c r="Z112" i="8" s="1"/>
  <c r="V114" i="8"/>
  <c r="AB114" i="8" s="1"/>
  <c r="U112" i="8"/>
  <c r="AA112" i="8" s="1"/>
  <c r="T115" i="8"/>
  <c r="Z115" i="8" s="1"/>
  <c r="V112" i="8"/>
  <c r="AB112" i="8" s="1"/>
  <c r="U115" i="8"/>
  <c r="AA115" i="8" s="1"/>
  <c r="T110" i="8"/>
  <c r="Z110" i="8" s="1"/>
  <c r="T113" i="8"/>
  <c r="Z113" i="8" s="1"/>
  <c r="AE972" i="8"/>
  <c r="Z224" i="8"/>
  <c r="V588" i="8"/>
  <c r="AB588" i="8" s="1"/>
  <c r="V586" i="8"/>
  <c r="AB586" i="8" s="1"/>
  <c r="V221" i="8"/>
  <c r="AB221" i="8" s="1"/>
  <c r="V224" i="8"/>
  <c r="AB224" i="8" s="1"/>
  <c r="T219" i="8"/>
  <c r="Z219" i="8" s="1"/>
  <c r="T223" i="8"/>
  <c r="Z223" i="8" s="1"/>
  <c r="U219" i="8"/>
  <c r="AA219" i="8" s="1"/>
  <c r="U223" i="8"/>
  <c r="AA223" i="8" s="1"/>
  <c r="T222" i="8"/>
  <c r="Z222" i="8" s="1"/>
  <c r="U224" i="8"/>
  <c r="AA224" i="8" s="1"/>
  <c r="U222" i="8"/>
  <c r="AA222" i="8" s="1"/>
  <c r="V219" i="8"/>
  <c r="AB219" i="8" s="1"/>
  <c r="V222" i="8"/>
  <c r="AB222" i="8" s="1"/>
  <c r="T221" i="8"/>
  <c r="Z221" i="8" s="1"/>
  <c r="V223" i="8"/>
  <c r="AB223" i="8" s="1"/>
  <c r="U221" i="8"/>
  <c r="AA221" i="8" s="1"/>
  <c r="V752" i="8"/>
  <c r="AB752" i="8" s="1"/>
  <c r="U750" i="8"/>
  <c r="AA750" i="8" s="1"/>
  <c r="U747" i="8"/>
  <c r="AA747" i="8" s="1"/>
  <c r="V977" i="8"/>
  <c r="AB977" i="8" s="1"/>
  <c r="U975" i="8"/>
  <c r="AA975" i="8" s="1"/>
  <c r="U972" i="8"/>
  <c r="AA972" i="8" s="1"/>
  <c r="V583" i="8"/>
  <c r="AB583" i="8" s="1"/>
  <c r="AE747" i="8"/>
  <c r="V972" i="8"/>
  <c r="AB972" i="8" s="1"/>
  <c r="V975" i="8"/>
  <c r="AB975" i="8" s="1"/>
  <c r="T976" i="8"/>
  <c r="Z976" i="8" s="1"/>
  <c r="U976" i="8"/>
  <c r="AA976" i="8" s="1"/>
  <c r="T974" i="8"/>
  <c r="Z974" i="8" s="1"/>
  <c r="V976" i="8"/>
  <c r="AB976" i="8" s="1"/>
  <c r="U974" i="8"/>
  <c r="AA974" i="8" s="1"/>
  <c r="T977" i="8"/>
  <c r="Z977" i="8" s="1"/>
  <c r="V974" i="8"/>
  <c r="AB974" i="8" s="1"/>
  <c r="U977" i="8"/>
  <c r="AA977" i="8" s="1"/>
  <c r="T972" i="8"/>
  <c r="Z972" i="8" s="1"/>
  <c r="T975" i="8"/>
  <c r="Z975" i="8" s="1"/>
  <c r="V747" i="8"/>
  <c r="AB747" i="8" s="1"/>
  <c r="V750" i="8"/>
  <c r="AB750" i="8" s="1"/>
  <c r="T751" i="8"/>
  <c r="Z751" i="8" s="1"/>
  <c r="U751" i="8"/>
  <c r="AA751" i="8" s="1"/>
  <c r="T749" i="8"/>
  <c r="Z749" i="8" s="1"/>
  <c r="V751" i="8"/>
  <c r="AB751" i="8" s="1"/>
  <c r="U749" i="8"/>
  <c r="AA749" i="8" s="1"/>
  <c r="T752" i="8"/>
  <c r="Z752" i="8" s="1"/>
  <c r="V749" i="8"/>
  <c r="AB749" i="8" s="1"/>
  <c r="U752" i="8"/>
  <c r="AA752" i="8" s="1"/>
  <c r="T747" i="8"/>
  <c r="Z747" i="8" s="1"/>
  <c r="T750" i="8"/>
  <c r="Z750" i="8" s="1"/>
  <c r="U583" i="8"/>
  <c r="AA583" i="8" s="1"/>
  <c r="AE583" i="8"/>
  <c r="U586" i="8"/>
  <c r="AA586" i="8" s="1"/>
  <c r="T587" i="8"/>
  <c r="Z587" i="8" s="1"/>
  <c r="U587" i="8"/>
  <c r="AA587" i="8" s="1"/>
  <c r="T585" i="8"/>
  <c r="Z585" i="8" s="1"/>
  <c r="V587" i="8"/>
  <c r="AB587" i="8" s="1"/>
  <c r="U585" i="8"/>
  <c r="AA585" i="8" s="1"/>
  <c r="T588" i="8"/>
  <c r="Z588" i="8" s="1"/>
  <c r="V585" i="8"/>
  <c r="AB585" i="8" s="1"/>
  <c r="U588" i="8"/>
  <c r="AA588" i="8" s="1"/>
  <c r="T583" i="8"/>
  <c r="Z583" i="8" s="1"/>
  <c r="T586" i="8"/>
  <c r="Z586" i="8" s="1"/>
  <c r="AE214" i="8"/>
  <c r="AB424" i="8"/>
  <c r="AE323" i="8"/>
  <c r="V422" i="8"/>
  <c r="AB422" i="8" s="1"/>
  <c r="V419" i="8"/>
  <c r="AB419" i="8" s="1"/>
  <c r="U419" i="8"/>
  <c r="AA419" i="8" s="1"/>
  <c r="AE419" i="8"/>
  <c r="U422" i="8"/>
  <c r="AA422" i="8" s="1"/>
  <c r="T423" i="8"/>
  <c r="Z423" i="8" s="1"/>
  <c r="U423" i="8"/>
  <c r="AA423" i="8" s="1"/>
  <c r="T421" i="8"/>
  <c r="Z421" i="8" s="1"/>
  <c r="V423" i="8"/>
  <c r="AB423" i="8" s="1"/>
  <c r="U421" i="8"/>
  <c r="AA421" i="8" s="1"/>
  <c r="T424" i="8"/>
  <c r="Z424" i="8" s="1"/>
  <c r="V421" i="8"/>
  <c r="AB421" i="8" s="1"/>
  <c r="U424" i="8"/>
  <c r="AA424" i="8" s="1"/>
  <c r="T419" i="8"/>
  <c r="Z419" i="8" s="1"/>
  <c r="T422" i="8"/>
  <c r="Z422" i="8" s="1"/>
  <c r="AB1135" i="8"/>
  <c r="U322" i="8"/>
  <c r="AA322" i="8" s="1"/>
  <c r="U325" i="8"/>
  <c r="AA325" i="8" s="1"/>
  <c r="V322" i="8"/>
  <c r="AB322" i="8" s="1"/>
  <c r="V325" i="8"/>
  <c r="AB325" i="8" s="1"/>
  <c r="T326" i="8"/>
  <c r="Z326" i="8" s="1"/>
  <c r="U326" i="8"/>
  <c r="AA326" i="8" s="1"/>
  <c r="T324" i="8"/>
  <c r="Z324" i="8" s="1"/>
  <c r="V326" i="8"/>
  <c r="AB326" i="8" s="1"/>
  <c r="U324" i="8"/>
  <c r="AA324" i="8" s="1"/>
  <c r="T327" i="8"/>
  <c r="Z327" i="8" s="1"/>
  <c r="V324" i="8"/>
  <c r="AB324" i="8" s="1"/>
  <c r="U327" i="8"/>
  <c r="AA327" i="8" s="1"/>
  <c r="T322" i="8"/>
  <c r="Z322" i="8" s="1"/>
  <c r="T325" i="8"/>
  <c r="Z325" i="8" s="1"/>
  <c r="V218" i="8"/>
  <c r="AB218" i="8" s="1"/>
  <c r="V216" i="8"/>
  <c r="AB216" i="8" s="1"/>
  <c r="T216" i="8"/>
  <c r="Z216" i="8" s="1"/>
  <c r="V213" i="8"/>
  <c r="AB213" i="8" s="1"/>
  <c r="V215" i="8"/>
  <c r="AB215" i="8" s="1"/>
  <c r="T213" i="8"/>
  <c r="Z213" i="8" s="1"/>
  <c r="T217" i="8"/>
  <c r="Z217" i="8" s="1"/>
  <c r="AE105" i="8"/>
  <c r="U213" i="8"/>
  <c r="AA213" i="8" s="1"/>
  <c r="U216" i="8"/>
  <c r="AA216" i="8" s="1"/>
  <c r="U217" i="8"/>
  <c r="AA217" i="8" s="1"/>
  <c r="T215" i="8"/>
  <c r="Z215" i="8" s="1"/>
  <c r="V217" i="8"/>
  <c r="AB217" i="8" s="1"/>
  <c r="U215" i="8"/>
  <c r="AA215" i="8" s="1"/>
  <c r="T218" i="8"/>
  <c r="Z218" i="8" s="1"/>
  <c r="U218" i="8"/>
  <c r="AA218" i="8" s="1"/>
  <c r="T109" i="8"/>
  <c r="Z109" i="8" s="1"/>
  <c r="U107" i="8"/>
  <c r="AA107" i="8" s="1"/>
  <c r="T107" i="8"/>
  <c r="Z107" i="8" s="1"/>
  <c r="U108" i="8"/>
  <c r="AA108" i="8" s="1"/>
  <c r="T108" i="8"/>
  <c r="Z108" i="8" s="1"/>
  <c r="U104" i="8"/>
  <c r="AA104" i="8" s="1"/>
  <c r="V109" i="8"/>
  <c r="AB109" i="8" s="1"/>
  <c r="T104" i="8"/>
  <c r="Z104" i="8" s="1"/>
  <c r="U109" i="8"/>
  <c r="AA109" i="8" s="1"/>
  <c r="V106" i="8"/>
  <c r="AB106" i="8" s="1"/>
  <c r="V104" i="8"/>
  <c r="AB104" i="8" s="1"/>
  <c r="V107" i="8"/>
  <c r="AB107" i="8" s="1"/>
  <c r="T106" i="8"/>
  <c r="Z106" i="8" s="1"/>
  <c r="V108" i="8"/>
  <c r="AB108" i="8" s="1"/>
  <c r="U106" i="8"/>
  <c r="AA106" i="8" s="1"/>
  <c r="AB212" i="8"/>
  <c r="AB412" i="8"/>
  <c r="AE207" i="8"/>
  <c r="AE316" i="8"/>
  <c r="U207" i="8"/>
  <c r="AA207" i="8" s="1"/>
  <c r="V207" i="8"/>
  <c r="AB207" i="8" s="1"/>
  <c r="U210" i="8"/>
  <c r="AA210" i="8" s="1"/>
  <c r="V210" i="8"/>
  <c r="AB210" i="8" s="1"/>
  <c r="T211" i="8"/>
  <c r="Z211" i="8" s="1"/>
  <c r="U211" i="8"/>
  <c r="AA211" i="8" s="1"/>
  <c r="T209" i="8"/>
  <c r="Z209" i="8" s="1"/>
  <c r="V211" i="8"/>
  <c r="AB211" i="8" s="1"/>
  <c r="U209" i="8"/>
  <c r="AA209" i="8" s="1"/>
  <c r="T212" i="8"/>
  <c r="Z212" i="8" s="1"/>
  <c r="V209" i="8"/>
  <c r="AB209" i="8" s="1"/>
  <c r="U212" i="8"/>
  <c r="AA212" i="8" s="1"/>
  <c r="T207" i="8"/>
  <c r="Z207" i="8" s="1"/>
  <c r="T210" i="8"/>
  <c r="Z210" i="8" s="1"/>
  <c r="V206" i="8"/>
  <c r="AB206" i="8" s="1"/>
  <c r="V204" i="8"/>
  <c r="AB204" i="8" s="1"/>
  <c r="T205" i="8"/>
  <c r="Z205" i="8" s="1"/>
  <c r="V201" i="8"/>
  <c r="AB201" i="8" s="1"/>
  <c r="AE202" i="8"/>
  <c r="V321" i="8"/>
  <c r="AB321" i="8" s="1"/>
  <c r="T319" i="8"/>
  <c r="Z319" i="8" s="1"/>
  <c r="U316" i="8"/>
  <c r="AA316" i="8" s="1"/>
  <c r="U321" i="8"/>
  <c r="AA321" i="8" s="1"/>
  <c r="V318" i="8"/>
  <c r="AB318" i="8" s="1"/>
  <c r="T316" i="8"/>
  <c r="Z316" i="8" s="1"/>
  <c r="T321" i="8"/>
  <c r="Z321" i="8" s="1"/>
  <c r="U318" i="8"/>
  <c r="AA318" i="8" s="1"/>
  <c r="V320" i="8"/>
  <c r="AB320" i="8" s="1"/>
  <c r="T318" i="8"/>
  <c r="Z318" i="8" s="1"/>
  <c r="V319" i="8"/>
  <c r="AB319" i="8" s="1"/>
  <c r="U320" i="8"/>
  <c r="AA320" i="8" s="1"/>
  <c r="T320" i="8"/>
  <c r="Z320" i="8" s="1"/>
  <c r="U319" i="8"/>
  <c r="AA319" i="8" s="1"/>
  <c r="V316" i="8"/>
  <c r="AB316" i="8" s="1"/>
  <c r="U204" i="8"/>
  <c r="AA204" i="8" s="1"/>
  <c r="U205" i="8"/>
  <c r="AA205" i="8" s="1"/>
  <c r="T203" i="8"/>
  <c r="Z203" i="8" s="1"/>
  <c r="V205" i="8"/>
  <c r="AB205" i="8" s="1"/>
  <c r="U203" i="8"/>
  <c r="AA203" i="8" s="1"/>
  <c r="T206" i="8"/>
  <c r="Z206" i="8" s="1"/>
  <c r="T201" i="8"/>
  <c r="Z201" i="8" s="1"/>
  <c r="V203" i="8"/>
  <c r="AB203" i="8" s="1"/>
  <c r="U206" i="8"/>
  <c r="AA206" i="8" s="1"/>
  <c r="U201" i="8"/>
  <c r="AA201" i="8" s="1"/>
  <c r="T204" i="8"/>
  <c r="Z204" i="8" s="1"/>
  <c r="V103" i="8"/>
  <c r="AB103" i="8" s="1"/>
  <c r="V101" i="8"/>
  <c r="AB101" i="8" s="1"/>
  <c r="V98" i="8"/>
  <c r="AB98" i="8" s="1"/>
  <c r="U101" i="8"/>
  <c r="AA101" i="8" s="1"/>
  <c r="AE99" i="8"/>
  <c r="T102" i="8"/>
  <c r="Z102" i="8" s="1"/>
  <c r="U102" i="8"/>
  <c r="AA102" i="8" s="1"/>
  <c r="T100" i="8"/>
  <c r="Z100" i="8" s="1"/>
  <c r="V102" i="8"/>
  <c r="AB102" i="8" s="1"/>
  <c r="U100" i="8"/>
  <c r="AA100" i="8" s="1"/>
  <c r="T103" i="8"/>
  <c r="Z103" i="8" s="1"/>
  <c r="T98" i="8"/>
  <c r="Z98" i="8" s="1"/>
  <c r="V100" i="8"/>
  <c r="AB100" i="8" s="1"/>
  <c r="U103" i="8"/>
  <c r="AA103" i="8" s="1"/>
  <c r="U98" i="8"/>
  <c r="AA98" i="8" s="1"/>
  <c r="T101" i="8"/>
  <c r="Z101" i="8" s="1"/>
  <c r="V1196" i="8"/>
  <c r="AB1196" i="8" s="1"/>
  <c r="T1194" i="8"/>
  <c r="Z1194" i="8" s="1"/>
  <c r="U1191" i="8"/>
  <c r="AA1191" i="8" s="1"/>
  <c r="V1194" i="8"/>
  <c r="AB1194" i="8" s="1"/>
  <c r="U1196" i="8"/>
  <c r="AA1196" i="8" s="1"/>
  <c r="V1193" i="8"/>
  <c r="AB1193" i="8" s="1"/>
  <c r="T1191" i="8"/>
  <c r="Z1191" i="8" s="1"/>
  <c r="T1196" i="8"/>
  <c r="Z1196" i="8" s="1"/>
  <c r="U1193" i="8"/>
  <c r="AA1193" i="8" s="1"/>
  <c r="T1195" i="8"/>
  <c r="Z1195" i="8" s="1"/>
  <c r="V1195" i="8"/>
  <c r="AB1195" i="8" s="1"/>
  <c r="T1193" i="8"/>
  <c r="Z1193" i="8" s="1"/>
  <c r="U1195" i="8"/>
  <c r="AA1195" i="8" s="1"/>
  <c r="U1194" i="8"/>
  <c r="AA1194" i="8" s="1"/>
  <c r="V1191" i="8"/>
  <c r="AB1191" i="8" s="1"/>
  <c r="AE1192" i="8"/>
  <c r="U1133" i="8"/>
  <c r="AA1133" i="8" s="1"/>
  <c r="AE1130" i="8"/>
  <c r="U1130" i="8"/>
  <c r="AA1130" i="8" s="1"/>
  <c r="V1130" i="8"/>
  <c r="AB1130" i="8" s="1"/>
  <c r="V1133" i="8"/>
  <c r="AB1133" i="8" s="1"/>
  <c r="T1134" i="8"/>
  <c r="Z1134" i="8" s="1"/>
  <c r="U1134" i="8"/>
  <c r="AA1134" i="8" s="1"/>
  <c r="T1132" i="8"/>
  <c r="Z1132" i="8" s="1"/>
  <c r="V1134" i="8"/>
  <c r="AB1134" i="8" s="1"/>
  <c r="U1132" i="8"/>
  <c r="AA1132" i="8" s="1"/>
  <c r="T1135" i="8"/>
  <c r="Z1135" i="8" s="1"/>
  <c r="T1130" i="8"/>
  <c r="Z1130" i="8" s="1"/>
  <c r="V1132" i="8"/>
  <c r="AB1132" i="8" s="1"/>
  <c r="U1135" i="8"/>
  <c r="AA1135" i="8" s="1"/>
  <c r="T1133" i="8"/>
  <c r="Z1133" i="8" s="1"/>
  <c r="AE905" i="8"/>
  <c r="AB194" i="8"/>
  <c r="AE832" i="8"/>
  <c r="V1062" i="8"/>
  <c r="AB1062" i="8" s="1"/>
  <c r="V1060" i="8"/>
  <c r="AB1060" i="8" s="1"/>
  <c r="V1057" i="8"/>
  <c r="AB1057" i="8" s="1"/>
  <c r="U1060" i="8"/>
  <c r="AA1060" i="8" s="1"/>
  <c r="AE1058" i="8"/>
  <c r="T1061" i="8"/>
  <c r="Z1061" i="8" s="1"/>
  <c r="U1061" i="8"/>
  <c r="AA1061" i="8" s="1"/>
  <c r="T1059" i="8"/>
  <c r="Z1059" i="8" s="1"/>
  <c r="V1061" i="8"/>
  <c r="AB1061" i="8" s="1"/>
  <c r="U1059" i="8"/>
  <c r="AA1059" i="8" s="1"/>
  <c r="T1062" i="8"/>
  <c r="Z1062" i="8" s="1"/>
  <c r="T1057" i="8"/>
  <c r="Z1057" i="8" s="1"/>
  <c r="V1059" i="8"/>
  <c r="AB1059" i="8" s="1"/>
  <c r="U1062" i="8"/>
  <c r="AA1062" i="8" s="1"/>
  <c r="U1057" i="8"/>
  <c r="AA1057" i="8" s="1"/>
  <c r="T1060" i="8"/>
  <c r="Z1060" i="8" s="1"/>
  <c r="V971" i="8"/>
  <c r="AB971" i="8" s="1"/>
  <c r="T969" i="8"/>
  <c r="Z969" i="8" s="1"/>
  <c r="U966" i="8"/>
  <c r="AA966" i="8" s="1"/>
  <c r="V966" i="8"/>
  <c r="AB966" i="8" s="1"/>
  <c r="U971" i="8"/>
  <c r="AA971" i="8" s="1"/>
  <c r="V968" i="8"/>
  <c r="AB968" i="8" s="1"/>
  <c r="T966" i="8"/>
  <c r="Z966" i="8" s="1"/>
  <c r="T971" i="8"/>
  <c r="Z971" i="8" s="1"/>
  <c r="U968" i="8"/>
  <c r="AA968" i="8" s="1"/>
  <c r="U969" i="8"/>
  <c r="AA969" i="8" s="1"/>
  <c r="V970" i="8"/>
  <c r="AB970" i="8" s="1"/>
  <c r="T968" i="8"/>
  <c r="Z968" i="8" s="1"/>
  <c r="U970" i="8"/>
  <c r="AA970" i="8" s="1"/>
  <c r="T970" i="8"/>
  <c r="Z970" i="8" s="1"/>
  <c r="V969" i="8"/>
  <c r="AB969" i="8" s="1"/>
  <c r="AE967" i="8"/>
  <c r="V910" i="8"/>
  <c r="AB910" i="8" s="1"/>
  <c r="T908" i="8"/>
  <c r="Z908" i="8" s="1"/>
  <c r="U905" i="8"/>
  <c r="AA905" i="8" s="1"/>
  <c r="U910" i="8"/>
  <c r="AA910" i="8" s="1"/>
  <c r="V907" i="8"/>
  <c r="AB907" i="8" s="1"/>
  <c r="T905" i="8"/>
  <c r="Z905" i="8" s="1"/>
  <c r="T910" i="8"/>
  <c r="Z910" i="8" s="1"/>
  <c r="U907" i="8"/>
  <c r="AA907" i="8" s="1"/>
  <c r="V909" i="8"/>
  <c r="AB909" i="8" s="1"/>
  <c r="T907" i="8"/>
  <c r="Z907" i="8" s="1"/>
  <c r="V908" i="8"/>
  <c r="AB908" i="8" s="1"/>
  <c r="U909" i="8"/>
  <c r="AA909" i="8" s="1"/>
  <c r="T909" i="8"/>
  <c r="Z909" i="8" s="1"/>
  <c r="U908" i="8"/>
  <c r="AA908" i="8" s="1"/>
  <c r="V905" i="8"/>
  <c r="AB905" i="8" s="1"/>
  <c r="AB673" i="8"/>
  <c r="V837" i="8"/>
  <c r="AB837" i="8" s="1"/>
  <c r="T835" i="8"/>
  <c r="Z835" i="8" s="1"/>
  <c r="U832" i="8"/>
  <c r="AA832" i="8" s="1"/>
  <c r="U837" i="8"/>
  <c r="AA837" i="8" s="1"/>
  <c r="V834" i="8"/>
  <c r="AB834" i="8" s="1"/>
  <c r="T832" i="8"/>
  <c r="Z832" i="8" s="1"/>
  <c r="T837" i="8"/>
  <c r="Z837" i="8" s="1"/>
  <c r="U834" i="8"/>
  <c r="AA834" i="8" s="1"/>
  <c r="U835" i="8"/>
  <c r="AA835" i="8" s="1"/>
  <c r="V836" i="8"/>
  <c r="AB836" i="8" s="1"/>
  <c r="T834" i="8"/>
  <c r="Z834" i="8" s="1"/>
  <c r="U836" i="8"/>
  <c r="AA836" i="8" s="1"/>
  <c r="V832" i="8"/>
  <c r="AB832" i="8" s="1"/>
  <c r="T836" i="8"/>
  <c r="Z836" i="8" s="1"/>
  <c r="V835" i="8"/>
  <c r="AB835" i="8" s="1"/>
  <c r="AB303" i="8"/>
  <c r="AE741" i="8"/>
  <c r="V746" i="8"/>
  <c r="AB746" i="8" s="1"/>
  <c r="T744" i="8"/>
  <c r="Z744" i="8" s="1"/>
  <c r="U741" i="8"/>
  <c r="AA741" i="8" s="1"/>
  <c r="U746" i="8"/>
  <c r="AA746" i="8" s="1"/>
  <c r="V743" i="8"/>
  <c r="AB743" i="8" s="1"/>
  <c r="T741" i="8"/>
  <c r="Z741" i="8" s="1"/>
  <c r="T746" i="8"/>
  <c r="Z746" i="8" s="1"/>
  <c r="U743" i="8"/>
  <c r="AA743" i="8" s="1"/>
  <c r="V745" i="8"/>
  <c r="AB745" i="8" s="1"/>
  <c r="T743" i="8"/>
  <c r="Z743" i="8" s="1"/>
  <c r="U745" i="8"/>
  <c r="AA745" i="8" s="1"/>
  <c r="V744" i="8"/>
  <c r="AB744" i="8" s="1"/>
  <c r="T745" i="8"/>
  <c r="Z745" i="8" s="1"/>
  <c r="U744" i="8"/>
  <c r="AA744" i="8" s="1"/>
  <c r="V741" i="8"/>
  <c r="AB741" i="8" s="1"/>
  <c r="AE668" i="8"/>
  <c r="U668" i="8"/>
  <c r="AA668" i="8" s="1"/>
  <c r="V671" i="8"/>
  <c r="AB671" i="8" s="1"/>
  <c r="V668" i="8"/>
  <c r="AB668" i="8" s="1"/>
  <c r="U671" i="8"/>
  <c r="AA671" i="8" s="1"/>
  <c r="T672" i="8"/>
  <c r="Z672" i="8" s="1"/>
  <c r="U672" i="8"/>
  <c r="AA672" i="8" s="1"/>
  <c r="T670" i="8"/>
  <c r="Z670" i="8" s="1"/>
  <c r="V672" i="8"/>
  <c r="AB672" i="8" s="1"/>
  <c r="U670" i="8"/>
  <c r="AA670" i="8" s="1"/>
  <c r="T673" i="8"/>
  <c r="Z673" i="8" s="1"/>
  <c r="T668" i="8"/>
  <c r="Z668" i="8" s="1"/>
  <c r="V670" i="8"/>
  <c r="AB670" i="8" s="1"/>
  <c r="U673" i="8"/>
  <c r="AA673" i="8" s="1"/>
  <c r="T671" i="8"/>
  <c r="Z671" i="8" s="1"/>
  <c r="AB965" i="8"/>
  <c r="AE577" i="8"/>
  <c r="V582" i="8"/>
  <c r="AB582" i="8" s="1"/>
  <c r="T580" i="8"/>
  <c r="Z580" i="8" s="1"/>
  <c r="U577" i="8"/>
  <c r="AA577" i="8" s="1"/>
  <c r="V577" i="8"/>
  <c r="AB577" i="8" s="1"/>
  <c r="U582" i="8"/>
  <c r="AA582" i="8" s="1"/>
  <c r="V579" i="8"/>
  <c r="AB579" i="8" s="1"/>
  <c r="T577" i="8"/>
  <c r="Z577" i="8" s="1"/>
  <c r="T582" i="8"/>
  <c r="Z582" i="8" s="1"/>
  <c r="U579" i="8"/>
  <c r="AA579" i="8" s="1"/>
  <c r="U580" i="8"/>
  <c r="AA580" i="8" s="1"/>
  <c r="V581" i="8"/>
  <c r="AB581" i="8" s="1"/>
  <c r="T579" i="8"/>
  <c r="Z579" i="8" s="1"/>
  <c r="U581" i="8"/>
  <c r="AA581" i="8" s="1"/>
  <c r="T581" i="8"/>
  <c r="Z581" i="8" s="1"/>
  <c r="V580" i="8"/>
  <c r="AB580" i="8" s="1"/>
  <c r="AE504" i="8"/>
  <c r="AE413" i="8"/>
  <c r="V509" i="8"/>
  <c r="AB509" i="8" s="1"/>
  <c r="T507" i="8"/>
  <c r="Z507" i="8" s="1"/>
  <c r="U504" i="8"/>
  <c r="AA504" i="8" s="1"/>
  <c r="U509" i="8"/>
  <c r="AA509" i="8" s="1"/>
  <c r="V506" i="8"/>
  <c r="AB506" i="8" s="1"/>
  <c r="T504" i="8"/>
  <c r="Z504" i="8" s="1"/>
  <c r="T509" i="8"/>
  <c r="Z509" i="8" s="1"/>
  <c r="U506" i="8"/>
  <c r="AA506" i="8" s="1"/>
  <c r="V508" i="8"/>
  <c r="AB508" i="8" s="1"/>
  <c r="T506" i="8"/>
  <c r="Z506" i="8" s="1"/>
  <c r="V507" i="8"/>
  <c r="AB507" i="8" s="1"/>
  <c r="U508" i="8"/>
  <c r="AA508" i="8" s="1"/>
  <c r="T508" i="8"/>
  <c r="Z508" i="8" s="1"/>
  <c r="U507" i="8"/>
  <c r="AA507" i="8" s="1"/>
  <c r="V504" i="8"/>
  <c r="AB504" i="8" s="1"/>
  <c r="V418" i="8"/>
  <c r="AB418" i="8" s="1"/>
  <c r="V416" i="8"/>
  <c r="AB416" i="8" s="1"/>
  <c r="U413" i="8"/>
  <c r="AA413" i="8" s="1"/>
  <c r="AE310" i="8"/>
  <c r="AB570" i="8"/>
  <c r="V413" i="8"/>
  <c r="AB413" i="8" s="1"/>
  <c r="U416" i="8"/>
  <c r="AA416" i="8" s="1"/>
  <c r="T417" i="8"/>
  <c r="Z417" i="8" s="1"/>
  <c r="U417" i="8"/>
  <c r="AA417" i="8" s="1"/>
  <c r="T415" i="8"/>
  <c r="Z415" i="8" s="1"/>
  <c r="V417" i="8"/>
  <c r="AB417" i="8" s="1"/>
  <c r="U415" i="8"/>
  <c r="AA415" i="8" s="1"/>
  <c r="T418" i="8"/>
  <c r="Z418" i="8" s="1"/>
  <c r="T413" i="8"/>
  <c r="Z413" i="8" s="1"/>
  <c r="V415" i="8"/>
  <c r="AB415" i="8" s="1"/>
  <c r="U418" i="8"/>
  <c r="AA418" i="8" s="1"/>
  <c r="T416" i="8"/>
  <c r="Z416" i="8" s="1"/>
  <c r="V315" i="8"/>
  <c r="AB315" i="8" s="1"/>
  <c r="T313" i="8"/>
  <c r="Z313" i="8" s="1"/>
  <c r="U310" i="8"/>
  <c r="AA310" i="8" s="1"/>
  <c r="U315" i="8"/>
  <c r="AA315" i="8" s="1"/>
  <c r="V312" i="8"/>
  <c r="AB312" i="8" s="1"/>
  <c r="T310" i="8"/>
  <c r="Z310" i="8" s="1"/>
  <c r="T315" i="8"/>
  <c r="Z315" i="8" s="1"/>
  <c r="U312" i="8"/>
  <c r="AA312" i="8" s="1"/>
  <c r="V313" i="8"/>
  <c r="AB313" i="8" s="1"/>
  <c r="V314" i="8"/>
  <c r="AB314" i="8" s="1"/>
  <c r="T312" i="8"/>
  <c r="Z312" i="8" s="1"/>
  <c r="U314" i="8"/>
  <c r="AA314" i="8" s="1"/>
  <c r="T314" i="8"/>
  <c r="Z314" i="8" s="1"/>
  <c r="U313" i="8"/>
  <c r="AA313" i="8" s="1"/>
  <c r="V310" i="8"/>
  <c r="AB310" i="8" s="1"/>
  <c r="AB200" i="8"/>
  <c r="V198" i="8"/>
  <c r="AB198" i="8" s="1"/>
  <c r="V195" i="8"/>
  <c r="AB195" i="8" s="1"/>
  <c r="U198" i="8"/>
  <c r="AA198" i="8" s="1"/>
  <c r="AE196" i="8"/>
  <c r="T199" i="8"/>
  <c r="Z199" i="8" s="1"/>
  <c r="U199" i="8"/>
  <c r="AA199" i="8" s="1"/>
  <c r="T197" i="8"/>
  <c r="Z197" i="8" s="1"/>
  <c r="V199" i="8"/>
  <c r="AB199" i="8" s="1"/>
  <c r="U197" i="8"/>
  <c r="AA197" i="8" s="1"/>
  <c r="T200" i="8"/>
  <c r="Z200" i="8" s="1"/>
  <c r="T195" i="8"/>
  <c r="Z195" i="8" s="1"/>
  <c r="V197" i="8"/>
  <c r="AB197" i="8" s="1"/>
  <c r="U200" i="8"/>
  <c r="AA200" i="8" s="1"/>
  <c r="U195" i="8"/>
  <c r="AA195" i="8" s="1"/>
  <c r="T198" i="8"/>
  <c r="Z198" i="8" s="1"/>
  <c r="AE92" i="8"/>
  <c r="V97" i="8"/>
  <c r="AB97" i="8" s="1"/>
  <c r="U95" i="8"/>
  <c r="AA95" i="8" s="1"/>
  <c r="V92" i="8"/>
  <c r="AB92" i="8" s="1"/>
  <c r="U92" i="8"/>
  <c r="AA92" i="8" s="1"/>
  <c r="V1056" i="8"/>
  <c r="AB1056" i="8" s="1"/>
  <c r="V1054" i="8"/>
  <c r="AB1054" i="8" s="1"/>
  <c r="AE1051" i="8"/>
  <c r="AE1185" i="8"/>
  <c r="AE1124" i="8"/>
  <c r="V95" i="8"/>
  <c r="AB95" i="8" s="1"/>
  <c r="T96" i="8"/>
  <c r="Z96" i="8" s="1"/>
  <c r="U96" i="8"/>
  <c r="AA96" i="8" s="1"/>
  <c r="T94" i="8"/>
  <c r="Z94" i="8" s="1"/>
  <c r="V96" i="8"/>
  <c r="AB96" i="8" s="1"/>
  <c r="U94" i="8"/>
  <c r="AA94" i="8" s="1"/>
  <c r="T97" i="8"/>
  <c r="Z97" i="8" s="1"/>
  <c r="T92" i="8"/>
  <c r="Z92" i="8" s="1"/>
  <c r="V94" i="8"/>
  <c r="AB94" i="8" s="1"/>
  <c r="U97" i="8"/>
  <c r="AA97" i="8" s="1"/>
  <c r="T95" i="8"/>
  <c r="Z95" i="8" s="1"/>
  <c r="V1190" i="8"/>
  <c r="AB1190" i="8" s="1"/>
  <c r="T1188" i="8"/>
  <c r="Z1188" i="8" s="1"/>
  <c r="U1185" i="8"/>
  <c r="AA1185" i="8" s="1"/>
  <c r="U1188" i="8"/>
  <c r="AA1188" i="8" s="1"/>
  <c r="U1190" i="8"/>
  <c r="AA1190" i="8" s="1"/>
  <c r="V1187" i="8"/>
  <c r="AB1187" i="8" s="1"/>
  <c r="T1185" i="8"/>
  <c r="Z1185" i="8" s="1"/>
  <c r="V1185" i="8"/>
  <c r="AB1185" i="8" s="1"/>
  <c r="T1190" i="8"/>
  <c r="Z1190" i="8" s="1"/>
  <c r="U1187" i="8"/>
  <c r="AA1187" i="8" s="1"/>
  <c r="V1189" i="8"/>
  <c r="AB1189" i="8" s="1"/>
  <c r="T1187" i="8"/>
  <c r="Z1187" i="8" s="1"/>
  <c r="U1189" i="8"/>
  <c r="AA1189" i="8" s="1"/>
  <c r="T1189" i="8"/>
  <c r="Z1189" i="8" s="1"/>
  <c r="V1188" i="8"/>
  <c r="AB1188" i="8" s="1"/>
  <c r="V1129" i="8"/>
  <c r="AB1129" i="8" s="1"/>
  <c r="T1127" i="8"/>
  <c r="Z1127" i="8" s="1"/>
  <c r="U1124" i="8"/>
  <c r="AA1124" i="8" s="1"/>
  <c r="V1127" i="8"/>
  <c r="AB1127" i="8" s="1"/>
  <c r="U1129" i="8"/>
  <c r="AA1129" i="8" s="1"/>
  <c r="V1126" i="8"/>
  <c r="AB1126" i="8" s="1"/>
  <c r="T1124" i="8"/>
  <c r="Z1124" i="8" s="1"/>
  <c r="T1129" i="8"/>
  <c r="Z1129" i="8" s="1"/>
  <c r="U1126" i="8"/>
  <c r="AA1126" i="8" s="1"/>
  <c r="V1128" i="8"/>
  <c r="AB1128" i="8" s="1"/>
  <c r="T1126" i="8"/>
  <c r="Z1126" i="8" s="1"/>
  <c r="U1128" i="8"/>
  <c r="AA1128" i="8" s="1"/>
  <c r="T1128" i="8"/>
  <c r="Z1128" i="8" s="1"/>
  <c r="U1127" i="8"/>
  <c r="AA1127" i="8" s="1"/>
  <c r="V1124" i="8"/>
  <c r="AB1124" i="8" s="1"/>
  <c r="V1051" i="8"/>
  <c r="AB1051" i="8" s="1"/>
  <c r="U1054" i="8"/>
  <c r="AA1054" i="8" s="1"/>
  <c r="T1055" i="8"/>
  <c r="Z1055" i="8" s="1"/>
  <c r="U1055" i="8"/>
  <c r="AA1055" i="8" s="1"/>
  <c r="T1053" i="8"/>
  <c r="Z1053" i="8" s="1"/>
  <c r="V1055" i="8"/>
  <c r="AB1055" i="8" s="1"/>
  <c r="U1053" i="8"/>
  <c r="AA1053" i="8" s="1"/>
  <c r="T1056" i="8"/>
  <c r="Z1056" i="8" s="1"/>
  <c r="T1051" i="8"/>
  <c r="Z1051" i="8" s="1"/>
  <c r="V1053" i="8"/>
  <c r="AB1053" i="8" s="1"/>
  <c r="U1056" i="8"/>
  <c r="AA1056" i="8" s="1"/>
  <c r="U1051" i="8"/>
  <c r="AA1051" i="8" s="1"/>
  <c r="T1054" i="8"/>
  <c r="Z1054" i="8" s="1"/>
  <c r="AE304" i="8"/>
  <c r="U407" i="8"/>
  <c r="AA407" i="8" s="1"/>
  <c r="V963" i="8"/>
  <c r="AB963" i="8" s="1"/>
  <c r="V960" i="8"/>
  <c r="AB960" i="8" s="1"/>
  <c r="U963" i="8"/>
  <c r="AA963" i="8" s="1"/>
  <c r="AE961" i="8"/>
  <c r="T964" i="8"/>
  <c r="Z964" i="8" s="1"/>
  <c r="T962" i="8"/>
  <c r="Z962" i="8" s="1"/>
  <c r="V964" i="8"/>
  <c r="AB964" i="8" s="1"/>
  <c r="U964" i="8"/>
  <c r="AA964" i="8" s="1"/>
  <c r="U962" i="8"/>
  <c r="AA962" i="8" s="1"/>
  <c r="T965" i="8"/>
  <c r="Z965" i="8" s="1"/>
  <c r="T960" i="8"/>
  <c r="Z960" i="8" s="1"/>
  <c r="V962" i="8"/>
  <c r="AB962" i="8" s="1"/>
  <c r="U965" i="8"/>
  <c r="AA965" i="8" s="1"/>
  <c r="U960" i="8"/>
  <c r="AA960" i="8" s="1"/>
  <c r="T963" i="8"/>
  <c r="Z963" i="8" s="1"/>
  <c r="V309" i="8"/>
  <c r="AB309" i="8" s="1"/>
  <c r="U304" i="8"/>
  <c r="AA304" i="8" s="1"/>
  <c r="AE899" i="8"/>
  <c r="AE86" i="8"/>
  <c r="AE407" i="8"/>
  <c r="V829" i="8"/>
  <c r="AB829" i="8" s="1"/>
  <c r="AE662" i="8"/>
  <c r="AB497" i="8"/>
  <c r="AE498" i="8"/>
  <c r="V904" i="8"/>
  <c r="AB904" i="8" s="1"/>
  <c r="U899" i="8"/>
  <c r="AA899" i="8" s="1"/>
  <c r="V902" i="8"/>
  <c r="AB902" i="8" s="1"/>
  <c r="V899" i="8"/>
  <c r="AB899" i="8" s="1"/>
  <c r="U902" i="8"/>
  <c r="AA902" i="8" s="1"/>
  <c r="T903" i="8"/>
  <c r="Z903" i="8" s="1"/>
  <c r="U903" i="8"/>
  <c r="AA903" i="8" s="1"/>
  <c r="T901" i="8"/>
  <c r="Z901" i="8" s="1"/>
  <c r="V903" i="8"/>
  <c r="AB903" i="8" s="1"/>
  <c r="U901" i="8"/>
  <c r="AA901" i="8" s="1"/>
  <c r="T904" i="8"/>
  <c r="Z904" i="8" s="1"/>
  <c r="T899" i="8"/>
  <c r="Z899" i="8" s="1"/>
  <c r="V901" i="8"/>
  <c r="AB901" i="8" s="1"/>
  <c r="U904" i="8"/>
  <c r="AA904" i="8" s="1"/>
  <c r="T902" i="8"/>
  <c r="Z902" i="8" s="1"/>
  <c r="AB831" i="8"/>
  <c r="V826" i="8"/>
  <c r="AB826" i="8" s="1"/>
  <c r="U829" i="8"/>
  <c r="AA829" i="8" s="1"/>
  <c r="AE827" i="8"/>
  <c r="T830" i="8"/>
  <c r="Z830" i="8" s="1"/>
  <c r="U830" i="8"/>
  <c r="AA830" i="8" s="1"/>
  <c r="T828" i="8"/>
  <c r="Z828" i="8" s="1"/>
  <c r="V830" i="8"/>
  <c r="AB830" i="8" s="1"/>
  <c r="U828" i="8"/>
  <c r="AA828" i="8" s="1"/>
  <c r="T831" i="8"/>
  <c r="Z831" i="8" s="1"/>
  <c r="T826" i="8"/>
  <c r="Z826" i="8" s="1"/>
  <c r="V828" i="8"/>
  <c r="AB828" i="8" s="1"/>
  <c r="U831" i="8"/>
  <c r="AA831" i="8" s="1"/>
  <c r="U826" i="8"/>
  <c r="AA826" i="8" s="1"/>
  <c r="T829" i="8"/>
  <c r="Z829" i="8" s="1"/>
  <c r="V740" i="8"/>
  <c r="AB740" i="8" s="1"/>
  <c r="T738" i="8"/>
  <c r="Z738" i="8" s="1"/>
  <c r="U735" i="8"/>
  <c r="AA735" i="8" s="1"/>
  <c r="V735" i="8"/>
  <c r="AB735" i="8" s="1"/>
  <c r="U740" i="8"/>
  <c r="AA740" i="8" s="1"/>
  <c r="V737" i="8"/>
  <c r="AB737" i="8" s="1"/>
  <c r="T735" i="8"/>
  <c r="Z735" i="8" s="1"/>
  <c r="T740" i="8"/>
  <c r="Z740" i="8" s="1"/>
  <c r="U737" i="8"/>
  <c r="AA737" i="8" s="1"/>
  <c r="V739" i="8"/>
  <c r="AB739" i="8" s="1"/>
  <c r="T737" i="8"/>
  <c r="Z737" i="8" s="1"/>
  <c r="U739" i="8"/>
  <c r="AA739" i="8" s="1"/>
  <c r="U738" i="8"/>
  <c r="AA738" i="8" s="1"/>
  <c r="T739" i="8"/>
  <c r="Z739" i="8" s="1"/>
  <c r="V738" i="8"/>
  <c r="AB738" i="8" s="1"/>
  <c r="AE736" i="8"/>
  <c r="V667" i="8"/>
  <c r="AB667" i="8" s="1"/>
  <c r="U665" i="8"/>
  <c r="AA665" i="8" s="1"/>
  <c r="V662" i="8"/>
  <c r="AB662" i="8" s="1"/>
  <c r="U662" i="8"/>
  <c r="AA662" i="8" s="1"/>
  <c r="V665" i="8"/>
  <c r="AB665" i="8" s="1"/>
  <c r="T666" i="8"/>
  <c r="Z666" i="8" s="1"/>
  <c r="U666" i="8"/>
  <c r="AA666" i="8" s="1"/>
  <c r="T664" i="8"/>
  <c r="Z664" i="8" s="1"/>
  <c r="V666" i="8"/>
  <c r="AB666" i="8" s="1"/>
  <c r="U664" i="8"/>
  <c r="AA664" i="8" s="1"/>
  <c r="T667" i="8"/>
  <c r="Z667" i="8" s="1"/>
  <c r="T662" i="8"/>
  <c r="Z662" i="8" s="1"/>
  <c r="V664" i="8"/>
  <c r="AB664" i="8" s="1"/>
  <c r="U667" i="8"/>
  <c r="AA667" i="8" s="1"/>
  <c r="T665" i="8"/>
  <c r="Z665" i="8" s="1"/>
  <c r="V576" i="8"/>
  <c r="AB576" i="8" s="1"/>
  <c r="T574" i="8"/>
  <c r="Z574" i="8" s="1"/>
  <c r="U571" i="8"/>
  <c r="AA571" i="8" s="1"/>
  <c r="U576" i="8"/>
  <c r="AA576" i="8" s="1"/>
  <c r="V573" i="8"/>
  <c r="AB573" i="8" s="1"/>
  <c r="T571" i="8"/>
  <c r="Z571" i="8" s="1"/>
  <c r="T576" i="8"/>
  <c r="Z576" i="8" s="1"/>
  <c r="U573" i="8"/>
  <c r="AA573" i="8" s="1"/>
  <c r="V574" i="8"/>
  <c r="AB574" i="8" s="1"/>
  <c r="V575" i="8"/>
  <c r="AB575" i="8" s="1"/>
  <c r="T573" i="8"/>
  <c r="Z573" i="8" s="1"/>
  <c r="V571" i="8"/>
  <c r="AB571" i="8" s="1"/>
  <c r="U575" i="8"/>
  <c r="AA575" i="8" s="1"/>
  <c r="T575" i="8"/>
  <c r="Z575" i="8" s="1"/>
  <c r="U574" i="8"/>
  <c r="AA574" i="8" s="1"/>
  <c r="AE572" i="8"/>
  <c r="V503" i="8"/>
  <c r="AB503" i="8" s="1"/>
  <c r="T501" i="8"/>
  <c r="Z501" i="8" s="1"/>
  <c r="U498" i="8"/>
  <c r="AA498" i="8" s="1"/>
  <c r="U503" i="8"/>
  <c r="AA503" i="8" s="1"/>
  <c r="V500" i="8"/>
  <c r="AB500" i="8" s="1"/>
  <c r="T498" i="8"/>
  <c r="Z498" i="8" s="1"/>
  <c r="T503" i="8"/>
  <c r="Z503" i="8" s="1"/>
  <c r="U500" i="8"/>
  <c r="AA500" i="8" s="1"/>
  <c r="V502" i="8"/>
  <c r="AB502" i="8" s="1"/>
  <c r="T500" i="8"/>
  <c r="Z500" i="8" s="1"/>
  <c r="V501" i="8"/>
  <c r="AB501" i="8" s="1"/>
  <c r="U502" i="8"/>
  <c r="AA502" i="8" s="1"/>
  <c r="T502" i="8"/>
  <c r="Z502" i="8" s="1"/>
  <c r="U501" i="8"/>
  <c r="AA501" i="8" s="1"/>
  <c r="V498" i="8"/>
  <c r="AB498" i="8" s="1"/>
  <c r="V410" i="8"/>
  <c r="AB410" i="8" s="1"/>
  <c r="V407" i="8"/>
  <c r="AB407" i="8" s="1"/>
  <c r="U410" i="8"/>
  <c r="AA410" i="8" s="1"/>
  <c r="T411" i="8"/>
  <c r="Z411" i="8" s="1"/>
  <c r="U411" i="8"/>
  <c r="AA411" i="8" s="1"/>
  <c r="T409" i="8"/>
  <c r="Z409" i="8" s="1"/>
  <c r="V411" i="8"/>
  <c r="AB411" i="8" s="1"/>
  <c r="U409" i="8"/>
  <c r="AA409" i="8" s="1"/>
  <c r="T412" i="8"/>
  <c r="Z412" i="8" s="1"/>
  <c r="T407" i="8"/>
  <c r="Z407" i="8" s="1"/>
  <c r="V409" i="8"/>
  <c r="AB409" i="8" s="1"/>
  <c r="U412" i="8"/>
  <c r="AA412" i="8" s="1"/>
  <c r="T410" i="8"/>
  <c r="Z410" i="8" s="1"/>
  <c r="V304" i="8"/>
  <c r="AB304" i="8" s="1"/>
  <c r="U307" i="8"/>
  <c r="AA307" i="8" s="1"/>
  <c r="V307" i="8"/>
  <c r="AB307" i="8" s="1"/>
  <c r="T308" i="8"/>
  <c r="Z308" i="8" s="1"/>
  <c r="U308" i="8"/>
  <c r="AA308" i="8" s="1"/>
  <c r="T306" i="8"/>
  <c r="Z306" i="8" s="1"/>
  <c r="V308" i="8"/>
  <c r="AB308" i="8" s="1"/>
  <c r="U306" i="8"/>
  <c r="AA306" i="8" s="1"/>
  <c r="T309" i="8"/>
  <c r="Z309" i="8" s="1"/>
  <c r="T304" i="8"/>
  <c r="Z304" i="8" s="1"/>
  <c r="V306" i="8"/>
  <c r="AB306" i="8" s="1"/>
  <c r="U309" i="8"/>
  <c r="AA309" i="8" s="1"/>
  <c r="T307" i="8"/>
  <c r="Z307" i="8" s="1"/>
  <c r="T193" i="8"/>
  <c r="Z193" i="8" s="1"/>
  <c r="V192" i="8"/>
  <c r="AB192" i="8" s="1"/>
  <c r="AE190" i="8"/>
  <c r="V189" i="8"/>
  <c r="AB189" i="8" s="1"/>
  <c r="U192" i="8"/>
  <c r="AA192" i="8" s="1"/>
  <c r="U193" i="8"/>
  <c r="AA193" i="8" s="1"/>
  <c r="T191" i="8"/>
  <c r="Z191" i="8" s="1"/>
  <c r="V193" i="8"/>
  <c r="AB193" i="8" s="1"/>
  <c r="U191" i="8"/>
  <c r="AA191" i="8" s="1"/>
  <c r="T194" i="8"/>
  <c r="Z194" i="8" s="1"/>
  <c r="T189" i="8"/>
  <c r="Z189" i="8" s="1"/>
  <c r="V191" i="8"/>
  <c r="AB191" i="8" s="1"/>
  <c r="U194" i="8"/>
  <c r="AA194" i="8" s="1"/>
  <c r="U189" i="8"/>
  <c r="AA189" i="8" s="1"/>
  <c r="T192" i="8"/>
  <c r="Z192" i="8" s="1"/>
  <c r="V91" i="8"/>
  <c r="AB91" i="8" s="1"/>
  <c r="T89" i="8"/>
  <c r="Z89" i="8" s="1"/>
  <c r="U86" i="8"/>
  <c r="AA86" i="8" s="1"/>
  <c r="U91" i="8"/>
  <c r="AA91" i="8" s="1"/>
  <c r="V88" i="8"/>
  <c r="AB88" i="8" s="1"/>
  <c r="T86" i="8"/>
  <c r="Z86" i="8" s="1"/>
  <c r="V89" i="8"/>
  <c r="AB89" i="8" s="1"/>
  <c r="T91" i="8"/>
  <c r="Z91" i="8" s="1"/>
  <c r="U88" i="8"/>
  <c r="AA88" i="8" s="1"/>
  <c r="V90" i="8"/>
  <c r="AB90" i="8" s="1"/>
  <c r="T88" i="8"/>
  <c r="Z88" i="8" s="1"/>
  <c r="U90" i="8"/>
  <c r="AA90" i="8" s="1"/>
  <c r="T90" i="8"/>
  <c r="Z90" i="8" s="1"/>
  <c r="U89" i="8"/>
  <c r="AA89" i="8" s="1"/>
  <c r="V86" i="8"/>
  <c r="AB86" i="8" s="1"/>
  <c r="AB85" i="8"/>
  <c r="AE80" i="8"/>
  <c r="V1184" i="8"/>
  <c r="AB1184" i="8" s="1"/>
  <c r="T1182" i="8"/>
  <c r="Z1182" i="8" s="1"/>
  <c r="U1179" i="8"/>
  <c r="AA1179" i="8" s="1"/>
  <c r="V1179" i="8"/>
  <c r="AB1179" i="8" s="1"/>
  <c r="U1184" i="8"/>
  <c r="AA1184" i="8" s="1"/>
  <c r="V1181" i="8"/>
  <c r="AB1181" i="8" s="1"/>
  <c r="T1179" i="8"/>
  <c r="Z1179" i="8" s="1"/>
  <c r="T1184" i="8"/>
  <c r="Z1184" i="8" s="1"/>
  <c r="U1181" i="8"/>
  <c r="AA1181" i="8" s="1"/>
  <c r="V1183" i="8"/>
  <c r="AB1183" i="8" s="1"/>
  <c r="T1181" i="8"/>
  <c r="Z1181" i="8" s="1"/>
  <c r="U1182" i="8"/>
  <c r="AA1182" i="8" s="1"/>
  <c r="U1183" i="8"/>
  <c r="AA1183" i="8" s="1"/>
  <c r="T1183" i="8"/>
  <c r="Z1183" i="8" s="1"/>
  <c r="V1182" i="8"/>
  <c r="AB1182" i="8" s="1"/>
  <c r="AE1180" i="8"/>
  <c r="V1123" i="8"/>
  <c r="AB1123" i="8" s="1"/>
  <c r="T1121" i="8"/>
  <c r="Z1121" i="8" s="1"/>
  <c r="U1118" i="8"/>
  <c r="AA1118" i="8" s="1"/>
  <c r="V1121" i="8"/>
  <c r="AB1121" i="8" s="1"/>
  <c r="U1123" i="8"/>
  <c r="AA1123" i="8" s="1"/>
  <c r="V1120" i="8"/>
  <c r="AB1120" i="8" s="1"/>
  <c r="T1118" i="8"/>
  <c r="Z1118" i="8" s="1"/>
  <c r="T1123" i="8"/>
  <c r="Z1123" i="8" s="1"/>
  <c r="U1120" i="8"/>
  <c r="AA1120" i="8" s="1"/>
  <c r="V1122" i="8"/>
  <c r="AB1122" i="8" s="1"/>
  <c r="T1120" i="8"/>
  <c r="Z1120" i="8" s="1"/>
  <c r="T1122" i="8"/>
  <c r="Z1122" i="8" s="1"/>
  <c r="U1122" i="8"/>
  <c r="AA1122" i="8" s="1"/>
  <c r="U1121" i="8"/>
  <c r="AA1121" i="8" s="1"/>
  <c r="V1118" i="8"/>
  <c r="AB1118" i="8" s="1"/>
  <c r="AE1119" i="8"/>
  <c r="V1050" i="8"/>
  <c r="AB1050" i="8" s="1"/>
  <c r="T1048" i="8"/>
  <c r="Z1048" i="8" s="1"/>
  <c r="U1045" i="8"/>
  <c r="AA1045" i="8" s="1"/>
  <c r="U1050" i="8"/>
  <c r="AA1050" i="8" s="1"/>
  <c r="V1047" i="8"/>
  <c r="AB1047" i="8" s="1"/>
  <c r="T1045" i="8"/>
  <c r="Z1045" i="8" s="1"/>
  <c r="V1045" i="8"/>
  <c r="AB1045" i="8" s="1"/>
  <c r="T1050" i="8"/>
  <c r="Z1050" i="8" s="1"/>
  <c r="U1047" i="8"/>
  <c r="AA1047" i="8" s="1"/>
  <c r="U1048" i="8"/>
  <c r="AA1048" i="8" s="1"/>
  <c r="V1049" i="8"/>
  <c r="AB1049" i="8" s="1"/>
  <c r="T1047" i="8"/>
  <c r="Z1047" i="8" s="1"/>
  <c r="U1049" i="8"/>
  <c r="AA1049" i="8" s="1"/>
  <c r="T1049" i="8"/>
  <c r="Z1049" i="8" s="1"/>
  <c r="V1048" i="8"/>
  <c r="AB1048" i="8" s="1"/>
  <c r="AE1046" i="8"/>
  <c r="V959" i="8"/>
  <c r="AB959" i="8" s="1"/>
  <c r="T957" i="8"/>
  <c r="Z957" i="8" s="1"/>
  <c r="U954" i="8"/>
  <c r="AA954" i="8" s="1"/>
  <c r="U959" i="8"/>
  <c r="AA959" i="8" s="1"/>
  <c r="V956" i="8"/>
  <c r="AB956" i="8" s="1"/>
  <c r="T954" i="8"/>
  <c r="Z954" i="8" s="1"/>
  <c r="T959" i="8"/>
  <c r="Z959" i="8" s="1"/>
  <c r="U956" i="8"/>
  <c r="AA956" i="8" s="1"/>
  <c r="T958" i="8"/>
  <c r="Z958" i="8" s="1"/>
  <c r="V958" i="8"/>
  <c r="AB958" i="8" s="1"/>
  <c r="T956" i="8"/>
  <c r="Z956" i="8" s="1"/>
  <c r="U958" i="8"/>
  <c r="AA958" i="8" s="1"/>
  <c r="U957" i="8"/>
  <c r="AA957" i="8" s="1"/>
  <c r="V954" i="8"/>
  <c r="AB954" i="8" s="1"/>
  <c r="V957" i="8"/>
  <c r="AB957" i="8" s="1"/>
  <c r="AE955" i="8"/>
  <c r="V898" i="8"/>
  <c r="AB898" i="8" s="1"/>
  <c r="U893" i="8"/>
  <c r="AA893" i="8" s="1"/>
  <c r="AE893" i="8"/>
  <c r="AB1044" i="8"/>
  <c r="AA1110" i="8"/>
  <c r="V896" i="8"/>
  <c r="AB896" i="8" s="1"/>
  <c r="V893" i="8"/>
  <c r="AB893" i="8" s="1"/>
  <c r="U896" i="8"/>
  <c r="AA896" i="8" s="1"/>
  <c r="T897" i="8"/>
  <c r="Z897" i="8" s="1"/>
  <c r="U897" i="8"/>
  <c r="AA897" i="8" s="1"/>
  <c r="T895" i="8"/>
  <c r="Z895" i="8" s="1"/>
  <c r="V897" i="8"/>
  <c r="AB897" i="8" s="1"/>
  <c r="U895" i="8"/>
  <c r="AA895" i="8" s="1"/>
  <c r="T898" i="8"/>
  <c r="Z898" i="8" s="1"/>
  <c r="T893" i="8"/>
  <c r="Z893" i="8" s="1"/>
  <c r="V895" i="8"/>
  <c r="AB895" i="8" s="1"/>
  <c r="U898" i="8"/>
  <c r="AA898" i="8" s="1"/>
  <c r="T896" i="8"/>
  <c r="Z896" i="8" s="1"/>
  <c r="AE656" i="8"/>
  <c r="AE298" i="8"/>
  <c r="V825" i="8"/>
  <c r="AB825" i="8" s="1"/>
  <c r="T823" i="8"/>
  <c r="Z823" i="8" s="1"/>
  <c r="U820" i="8"/>
  <c r="AA820" i="8" s="1"/>
  <c r="U825" i="8"/>
  <c r="AA825" i="8" s="1"/>
  <c r="V822" i="8"/>
  <c r="AB822" i="8" s="1"/>
  <c r="T820" i="8"/>
  <c r="Z820" i="8" s="1"/>
  <c r="V820" i="8"/>
  <c r="AB820" i="8" s="1"/>
  <c r="T825" i="8"/>
  <c r="Z825" i="8" s="1"/>
  <c r="U822" i="8"/>
  <c r="AA822" i="8" s="1"/>
  <c r="U823" i="8"/>
  <c r="AA823" i="8" s="1"/>
  <c r="V824" i="8"/>
  <c r="AB824" i="8" s="1"/>
  <c r="T822" i="8"/>
  <c r="Z822" i="8" s="1"/>
  <c r="U824" i="8"/>
  <c r="AA824" i="8" s="1"/>
  <c r="T824" i="8"/>
  <c r="Z824" i="8" s="1"/>
  <c r="V823" i="8"/>
  <c r="AB823" i="8" s="1"/>
  <c r="AE821" i="8"/>
  <c r="V734" i="8"/>
  <c r="AB734" i="8" s="1"/>
  <c r="U732" i="8"/>
  <c r="AA732" i="8" s="1"/>
  <c r="V729" i="8"/>
  <c r="AB729" i="8" s="1"/>
  <c r="V732" i="8"/>
  <c r="AB732" i="8" s="1"/>
  <c r="AE730" i="8"/>
  <c r="T733" i="8"/>
  <c r="Z733" i="8" s="1"/>
  <c r="U733" i="8"/>
  <c r="AA733" i="8" s="1"/>
  <c r="T731" i="8"/>
  <c r="Z731" i="8" s="1"/>
  <c r="V733" i="8"/>
  <c r="AB733" i="8" s="1"/>
  <c r="U731" i="8"/>
  <c r="AA731" i="8" s="1"/>
  <c r="T734" i="8"/>
  <c r="Z734" i="8" s="1"/>
  <c r="T729" i="8"/>
  <c r="Z729" i="8" s="1"/>
  <c r="V731" i="8"/>
  <c r="AB731" i="8" s="1"/>
  <c r="U734" i="8"/>
  <c r="AA734" i="8" s="1"/>
  <c r="U729" i="8"/>
  <c r="AA729" i="8" s="1"/>
  <c r="T732" i="8"/>
  <c r="Z732" i="8" s="1"/>
  <c r="V661" i="8"/>
  <c r="AB661" i="8" s="1"/>
  <c r="V659" i="8"/>
  <c r="AB659" i="8" s="1"/>
  <c r="U656" i="8"/>
  <c r="AA656" i="8" s="1"/>
  <c r="T659" i="8"/>
  <c r="Z659" i="8" s="1"/>
  <c r="V656" i="8"/>
  <c r="AB656" i="8" s="1"/>
  <c r="U659" i="8"/>
  <c r="AA659" i="8" s="1"/>
  <c r="T660" i="8"/>
  <c r="Z660" i="8" s="1"/>
  <c r="U660" i="8"/>
  <c r="AA660" i="8" s="1"/>
  <c r="T658" i="8"/>
  <c r="Z658" i="8" s="1"/>
  <c r="V660" i="8"/>
  <c r="AB660" i="8" s="1"/>
  <c r="U658" i="8"/>
  <c r="AA658" i="8" s="1"/>
  <c r="T661" i="8"/>
  <c r="Z661" i="8" s="1"/>
  <c r="T656" i="8"/>
  <c r="Z656" i="8" s="1"/>
  <c r="V658" i="8"/>
  <c r="AB658" i="8" s="1"/>
  <c r="U661" i="8"/>
  <c r="AA661" i="8" s="1"/>
  <c r="V568" i="8"/>
  <c r="AB568" i="8" s="1"/>
  <c r="V565" i="8"/>
  <c r="AB565" i="8" s="1"/>
  <c r="U568" i="8"/>
  <c r="AA568" i="8" s="1"/>
  <c r="AE566" i="8"/>
  <c r="T569" i="8"/>
  <c r="Z569" i="8" s="1"/>
  <c r="U569" i="8"/>
  <c r="AA569" i="8" s="1"/>
  <c r="T567" i="8"/>
  <c r="Z567" i="8" s="1"/>
  <c r="V569" i="8"/>
  <c r="AB569" i="8" s="1"/>
  <c r="U567" i="8"/>
  <c r="AA567" i="8" s="1"/>
  <c r="T570" i="8"/>
  <c r="Z570" i="8" s="1"/>
  <c r="T565" i="8"/>
  <c r="Z565" i="8" s="1"/>
  <c r="V567" i="8"/>
  <c r="AB567" i="8" s="1"/>
  <c r="U570" i="8"/>
  <c r="AA570" i="8" s="1"/>
  <c r="U565" i="8"/>
  <c r="AA565" i="8" s="1"/>
  <c r="T568" i="8"/>
  <c r="Z568" i="8" s="1"/>
  <c r="T496" i="8"/>
  <c r="Z496" i="8" s="1"/>
  <c r="V495" i="8"/>
  <c r="AB495" i="8" s="1"/>
  <c r="AE493" i="8"/>
  <c r="V492" i="8"/>
  <c r="AB492" i="8" s="1"/>
  <c r="U495" i="8"/>
  <c r="AA495" i="8" s="1"/>
  <c r="U496" i="8"/>
  <c r="AA496" i="8" s="1"/>
  <c r="T494" i="8"/>
  <c r="Z494" i="8" s="1"/>
  <c r="V496" i="8"/>
  <c r="AB496" i="8" s="1"/>
  <c r="U494" i="8"/>
  <c r="AA494" i="8" s="1"/>
  <c r="T497" i="8"/>
  <c r="Z497" i="8" s="1"/>
  <c r="T492" i="8"/>
  <c r="Z492" i="8" s="1"/>
  <c r="V494" i="8"/>
  <c r="AB494" i="8" s="1"/>
  <c r="U497" i="8"/>
  <c r="AA497" i="8" s="1"/>
  <c r="U492" i="8"/>
  <c r="AA492" i="8" s="1"/>
  <c r="T495" i="8"/>
  <c r="Z495" i="8" s="1"/>
  <c r="V406" i="8"/>
  <c r="AB406" i="8" s="1"/>
  <c r="U404" i="8"/>
  <c r="AA404" i="8" s="1"/>
  <c r="U401" i="8"/>
  <c r="AA401" i="8" s="1"/>
  <c r="T401" i="8"/>
  <c r="Z401" i="8" s="1"/>
  <c r="AB188" i="8"/>
  <c r="AE401" i="8"/>
  <c r="AE183" i="8"/>
  <c r="V401" i="8"/>
  <c r="AB401" i="8" s="1"/>
  <c r="V404" i="8"/>
  <c r="AB404" i="8" s="1"/>
  <c r="T405" i="8"/>
  <c r="Z405" i="8" s="1"/>
  <c r="U405" i="8"/>
  <c r="AA405" i="8" s="1"/>
  <c r="T403" i="8"/>
  <c r="Z403" i="8" s="1"/>
  <c r="V405" i="8"/>
  <c r="AB405" i="8" s="1"/>
  <c r="U403" i="8"/>
  <c r="AA403" i="8" s="1"/>
  <c r="T406" i="8"/>
  <c r="Z406" i="8" s="1"/>
  <c r="V403" i="8"/>
  <c r="AB403" i="8" s="1"/>
  <c r="U406" i="8"/>
  <c r="AA406" i="8" s="1"/>
  <c r="T404" i="8"/>
  <c r="Z404" i="8" s="1"/>
  <c r="U298" i="8"/>
  <c r="AA298" i="8" s="1"/>
  <c r="V298" i="8"/>
  <c r="AB298" i="8" s="1"/>
  <c r="T301" i="8"/>
  <c r="Z301" i="8" s="1"/>
  <c r="U301" i="8"/>
  <c r="AA301" i="8" s="1"/>
  <c r="V301" i="8"/>
  <c r="AB301" i="8" s="1"/>
  <c r="U300" i="8"/>
  <c r="AA300" i="8" s="1"/>
  <c r="T302" i="8"/>
  <c r="Z302" i="8" s="1"/>
  <c r="U302" i="8"/>
  <c r="AA302" i="8" s="1"/>
  <c r="T300" i="8"/>
  <c r="Z300" i="8" s="1"/>
  <c r="V302" i="8"/>
  <c r="AB302" i="8" s="1"/>
  <c r="T303" i="8"/>
  <c r="Z303" i="8" s="1"/>
  <c r="T298" i="8"/>
  <c r="Z298" i="8" s="1"/>
  <c r="V300" i="8"/>
  <c r="AB300" i="8" s="1"/>
  <c r="U303" i="8"/>
  <c r="AA303" i="8" s="1"/>
  <c r="V183" i="8"/>
  <c r="AB183" i="8" s="1"/>
  <c r="U186" i="8"/>
  <c r="AA186" i="8" s="1"/>
  <c r="V186" i="8"/>
  <c r="AB186" i="8" s="1"/>
  <c r="T187" i="8"/>
  <c r="Z187" i="8" s="1"/>
  <c r="U187" i="8"/>
  <c r="AA187" i="8" s="1"/>
  <c r="T185" i="8"/>
  <c r="Z185" i="8" s="1"/>
  <c r="V187" i="8"/>
  <c r="AB187" i="8" s="1"/>
  <c r="U185" i="8"/>
  <c r="AA185" i="8" s="1"/>
  <c r="T188" i="8"/>
  <c r="Z188" i="8" s="1"/>
  <c r="T183" i="8"/>
  <c r="Z183" i="8" s="1"/>
  <c r="V185" i="8"/>
  <c r="AB185" i="8" s="1"/>
  <c r="U188" i="8"/>
  <c r="AA188" i="8" s="1"/>
  <c r="U183" i="8"/>
  <c r="AA183" i="8" s="1"/>
  <c r="T186" i="8"/>
  <c r="Z186" i="8" s="1"/>
  <c r="U80" i="8"/>
  <c r="AA80" i="8" s="1"/>
  <c r="U83" i="8"/>
  <c r="AA83" i="8" s="1"/>
  <c r="V80" i="8"/>
  <c r="AB80" i="8" s="1"/>
  <c r="V83" i="8"/>
  <c r="AB83" i="8" s="1"/>
  <c r="T84" i="8"/>
  <c r="Z84" i="8" s="1"/>
  <c r="U84" i="8"/>
  <c r="AA84" i="8" s="1"/>
  <c r="T82" i="8"/>
  <c r="Z82" i="8" s="1"/>
  <c r="V84" i="8"/>
  <c r="AB84" i="8" s="1"/>
  <c r="U82" i="8"/>
  <c r="AA82" i="8" s="1"/>
  <c r="T85" i="8"/>
  <c r="Z85" i="8" s="1"/>
  <c r="V82" i="8"/>
  <c r="AB82" i="8" s="1"/>
  <c r="U85" i="8"/>
  <c r="AA85" i="8" s="1"/>
  <c r="T80" i="8"/>
  <c r="Z80" i="8" s="1"/>
  <c r="T83" i="8"/>
  <c r="Z83" i="8" s="1"/>
  <c r="U1171" i="8"/>
  <c r="AA1171" i="8" s="1"/>
  <c r="T1167" i="8"/>
  <c r="Z1167" i="8" s="1"/>
  <c r="V1169" i="8"/>
  <c r="AB1169" i="8" s="1"/>
  <c r="U1169" i="8"/>
  <c r="AA1169" i="8" s="1"/>
  <c r="T1172" i="8"/>
  <c r="Z1172" i="8" s="1"/>
  <c r="U1170" i="8"/>
  <c r="AA1170" i="8" s="1"/>
  <c r="V1167" i="8"/>
  <c r="AB1167" i="8" s="1"/>
  <c r="V1178" i="8"/>
  <c r="AB1178" i="8" s="1"/>
  <c r="V1176" i="8"/>
  <c r="AB1176" i="8" s="1"/>
  <c r="V1173" i="8"/>
  <c r="AB1173" i="8" s="1"/>
  <c r="AB953" i="8"/>
  <c r="AE1174" i="8"/>
  <c r="AE1106" i="8"/>
  <c r="AE1113" i="8"/>
  <c r="T1169" i="8"/>
  <c r="Z1169" i="8" s="1"/>
  <c r="V1171" i="8"/>
  <c r="AB1171" i="8" s="1"/>
  <c r="U1173" i="8"/>
  <c r="AA1173" i="8" s="1"/>
  <c r="U1176" i="8"/>
  <c r="AA1176" i="8" s="1"/>
  <c r="U1172" i="8"/>
  <c r="AA1172" i="8" s="1"/>
  <c r="T1177" i="8"/>
  <c r="Z1177" i="8" s="1"/>
  <c r="U1167" i="8"/>
  <c r="AA1167" i="8" s="1"/>
  <c r="AE1167" i="8"/>
  <c r="T1170" i="8"/>
  <c r="Z1170" i="8" s="1"/>
  <c r="V1172" i="8"/>
  <c r="AB1172" i="8" s="1"/>
  <c r="U1177" i="8"/>
  <c r="AA1177" i="8" s="1"/>
  <c r="T1175" i="8"/>
  <c r="Z1175" i="8" s="1"/>
  <c r="V1177" i="8"/>
  <c r="AB1177" i="8" s="1"/>
  <c r="V1170" i="8"/>
  <c r="AB1170" i="8" s="1"/>
  <c r="U1175" i="8"/>
  <c r="AA1175" i="8" s="1"/>
  <c r="T1178" i="8"/>
  <c r="Z1178" i="8" s="1"/>
  <c r="T1171" i="8"/>
  <c r="Z1171" i="8" s="1"/>
  <c r="V1175" i="8"/>
  <c r="AB1175" i="8" s="1"/>
  <c r="U1178" i="8"/>
  <c r="AA1178" i="8" s="1"/>
  <c r="T1173" i="8"/>
  <c r="Z1173" i="8" s="1"/>
  <c r="T1176" i="8"/>
  <c r="Z1176" i="8" s="1"/>
  <c r="U1108" i="8"/>
  <c r="AA1108" i="8" s="1"/>
  <c r="T1106" i="8"/>
  <c r="Z1106" i="8" s="1"/>
  <c r="V1108" i="8"/>
  <c r="AB1108" i="8" s="1"/>
  <c r="U1106" i="8"/>
  <c r="AA1106" i="8" s="1"/>
  <c r="T1111" i="8"/>
  <c r="Z1111" i="8" s="1"/>
  <c r="U1111" i="8"/>
  <c r="AA1111" i="8" s="1"/>
  <c r="V1117" i="8"/>
  <c r="AB1117" i="8" s="1"/>
  <c r="T1115" i="8"/>
  <c r="Z1115" i="8" s="1"/>
  <c r="T1112" i="8"/>
  <c r="Z1112" i="8" s="1"/>
  <c r="U1117" i="8"/>
  <c r="AA1117" i="8" s="1"/>
  <c r="V1114" i="8"/>
  <c r="AB1114" i="8" s="1"/>
  <c r="V1115" i="8"/>
  <c r="AB1115" i="8" s="1"/>
  <c r="V1112" i="8"/>
  <c r="AB1112" i="8" s="1"/>
  <c r="T1117" i="8"/>
  <c r="Z1117" i="8" s="1"/>
  <c r="U1114" i="8"/>
  <c r="AA1114" i="8" s="1"/>
  <c r="T1116" i="8"/>
  <c r="Z1116" i="8" s="1"/>
  <c r="V1116" i="8"/>
  <c r="AB1116" i="8" s="1"/>
  <c r="T1114" i="8"/>
  <c r="Z1114" i="8" s="1"/>
  <c r="U1116" i="8"/>
  <c r="AA1116" i="8" s="1"/>
  <c r="U1115" i="8"/>
  <c r="AA1115" i="8" s="1"/>
  <c r="U1112" i="8"/>
  <c r="AA1112" i="8" s="1"/>
  <c r="T1108" i="8"/>
  <c r="Z1108" i="8" s="1"/>
  <c r="V1110" i="8"/>
  <c r="AB1110" i="8" s="1"/>
  <c r="T1109" i="8"/>
  <c r="Z1109" i="8" s="1"/>
  <c r="V1111" i="8"/>
  <c r="AB1111" i="8" s="1"/>
  <c r="V1106" i="8"/>
  <c r="AB1106" i="8" s="1"/>
  <c r="U1109" i="8"/>
  <c r="AA1109" i="8" s="1"/>
  <c r="V1109" i="8"/>
  <c r="AB1109" i="8" s="1"/>
  <c r="T1110" i="8"/>
  <c r="Z1110" i="8" s="1"/>
  <c r="AE1040" i="8"/>
  <c r="AA557" i="8"/>
  <c r="T1033" i="8"/>
  <c r="Z1033" i="8" s="1"/>
  <c r="T1043" i="8"/>
  <c r="Z1043" i="8" s="1"/>
  <c r="T1038" i="8"/>
  <c r="Z1038" i="8" s="1"/>
  <c r="U1038" i="8"/>
  <c r="AA1038" i="8" s="1"/>
  <c r="V1039" i="8"/>
  <c r="AB1039" i="8" s="1"/>
  <c r="V1042" i="8"/>
  <c r="AB1042" i="8" s="1"/>
  <c r="AA1037" i="8"/>
  <c r="U1035" i="8"/>
  <c r="AA1035" i="8" s="1"/>
  <c r="V1035" i="8"/>
  <c r="AB1035" i="8" s="1"/>
  <c r="T1035" i="8"/>
  <c r="Z1035" i="8" s="1"/>
  <c r="V1037" i="8"/>
  <c r="AB1037" i="8" s="1"/>
  <c r="U1039" i="8"/>
  <c r="AA1039" i="8" s="1"/>
  <c r="U1042" i="8"/>
  <c r="AA1042" i="8" s="1"/>
  <c r="U1033" i="8"/>
  <c r="AA1033" i="8" s="1"/>
  <c r="AE1033" i="8"/>
  <c r="T1036" i="8"/>
  <c r="Z1036" i="8" s="1"/>
  <c r="V1038" i="8"/>
  <c r="AB1038" i="8" s="1"/>
  <c r="U1043" i="8"/>
  <c r="AA1043" i="8" s="1"/>
  <c r="V1033" i="8"/>
  <c r="AB1033" i="8" s="1"/>
  <c r="U1036" i="8"/>
  <c r="AA1036" i="8" s="1"/>
  <c r="T1041" i="8"/>
  <c r="Z1041" i="8" s="1"/>
  <c r="V1043" i="8"/>
  <c r="AB1043" i="8" s="1"/>
  <c r="V1036" i="8"/>
  <c r="AB1036" i="8" s="1"/>
  <c r="U1041" i="8"/>
  <c r="AA1041" i="8" s="1"/>
  <c r="T1044" i="8"/>
  <c r="Z1044" i="8" s="1"/>
  <c r="T1037" i="8"/>
  <c r="Z1037" i="8" s="1"/>
  <c r="V1041" i="8"/>
  <c r="AB1041" i="8" s="1"/>
  <c r="U1044" i="8"/>
  <c r="AA1044" i="8" s="1"/>
  <c r="T1039" i="8"/>
  <c r="Z1039" i="8" s="1"/>
  <c r="T1042" i="8"/>
  <c r="Z1042" i="8" s="1"/>
  <c r="AE948" i="8"/>
  <c r="T946" i="8"/>
  <c r="Z946" i="8" s="1"/>
  <c r="U944" i="8"/>
  <c r="AA944" i="8" s="1"/>
  <c r="T948" i="8"/>
  <c r="Z948" i="8" s="1"/>
  <c r="V948" i="8"/>
  <c r="AB948" i="8" s="1"/>
  <c r="V951" i="8"/>
  <c r="AB951" i="8" s="1"/>
  <c r="U946" i="8"/>
  <c r="AA946" i="8" s="1"/>
  <c r="T951" i="8"/>
  <c r="Z951" i="8" s="1"/>
  <c r="T944" i="8"/>
  <c r="Z944" i="8" s="1"/>
  <c r="V946" i="8"/>
  <c r="AB946" i="8" s="1"/>
  <c r="U948" i="8"/>
  <c r="AA948" i="8" s="1"/>
  <c r="U951" i="8"/>
  <c r="AA951" i="8" s="1"/>
  <c r="T942" i="8"/>
  <c r="Z942" i="8" s="1"/>
  <c r="V944" i="8"/>
  <c r="AB944" i="8" s="1"/>
  <c r="U947" i="8"/>
  <c r="AA947" i="8" s="1"/>
  <c r="T952" i="8"/>
  <c r="Z952" i="8" s="1"/>
  <c r="T947" i="8"/>
  <c r="Z947" i="8" s="1"/>
  <c r="U942" i="8"/>
  <c r="AA942" i="8" s="1"/>
  <c r="AE942" i="8"/>
  <c r="T945" i="8"/>
  <c r="Z945" i="8" s="1"/>
  <c r="V947" i="8"/>
  <c r="AB947" i="8" s="1"/>
  <c r="U952" i="8"/>
  <c r="AA952" i="8" s="1"/>
  <c r="V942" i="8"/>
  <c r="AB942" i="8" s="1"/>
  <c r="V952" i="8"/>
  <c r="AB952" i="8" s="1"/>
  <c r="V945" i="8"/>
  <c r="AB945" i="8" s="1"/>
  <c r="U950" i="8"/>
  <c r="AA950" i="8" s="1"/>
  <c r="T953" i="8"/>
  <c r="Z953" i="8" s="1"/>
  <c r="U945" i="8"/>
  <c r="AA945" i="8" s="1"/>
  <c r="T950" i="8"/>
  <c r="Z950" i="8" s="1"/>
  <c r="V950" i="8"/>
  <c r="AB950" i="8" s="1"/>
  <c r="U953" i="8"/>
  <c r="AA953" i="8" s="1"/>
  <c r="V892" i="8"/>
  <c r="AB892" i="8" s="1"/>
  <c r="V887" i="8"/>
  <c r="AB887" i="8" s="1"/>
  <c r="U887" i="8"/>
  <c r="AA887" i="8" s="1"/>
  <c r="T891" i="8"/>
  <c r="Z891" i="8" s="1"/>
  <c r="U885" i="8"/>
  <c r="AA885" i="8" s="1"/>
  <c r="U886" i="8"/>
  <c r="AA886" i="8" s="1"/>
  <c r="T886" i="8"/>
  <c r="Z886" i="8" s="1"/>
  <c r="T881" i="8"/>
  <c r="Z881" i="8" s="1"/>
  <c r="V883" i="8"/>
  <c r="AB883" i="8" s="1"/>
  <c r="U883" i="8"/>
  <c r="AA883" i="8" s="1"/>
  <c r="T890" i="8"/>
  <c r="Z890" i="8" s="1"/>
  <c r="V890" i="8"/>
  <c r="AB890" i="8" s="1"/>
  <c r="AE887" i="8"/>
  <c r="T887" i="8"/>
  <c r="Z887" i="8" s="1"/>
  <c r="V889" i="8"/>
  <c r="AB889" i="8" s="1"/>
  <c r="T883" i="8"/>
  <c r="Z883" i="8" s="1"/>
  <c r="V885" i="8"/>
  <c r="AB885" i="8" s="1"/>
  <c r="U890" i="8"/>
  <c r="AA890" i="8" s="1"/>
  <c r="U881" i="8"/>
  <c r="AA881" i="8" s="1"/>
  <c r="AE881" i="8"/>
  <c r="T884" i="8"/>
  <c r="Z884" i="8" s="1"/>
  <c r="V886" i="8"/>
  <c r="AB886" i="8" s="1"/>
  <c r="U891" i="8"/>
  <c r="AA891" i="8" s="1"/>
  <c r="V881" i="8"/>
  <c r="AB881" i="8" s="1"/>
  <c r="U884" i="8"/>
  <c r="AA884" i="8" s="1"/>
  <c r="T889" i="8"/>
  <c r="Z889" i="8" s="1"/>
  <c r="V891" i="8"/>
  <c r="AB891" i="8" s="1"/>
  <c r="V884" i="8"/>
  <c r="AB884" i="8" s="1"/>
  <c r="U889" i="8"/>
  <c r="AA889" i="8" s="1"/>
  <c r="T892" i="8"/>
  <c r="Z892" i="8" s="1"/>
  <c r="T885" i="8"/>
  <c r="Z885" i="8" s="1"/>
  <c r="U892" i="8"/>
  <c r="AA892" i="8" s="1"/>
  <c r="AB819" i="8"/>
  <c r="U812" i="8"/>
  <c r="AA812" i="8" s="1"/>
  <c r="U810" i="8"/>
  <c r="AA810" i="8" s="1"/>
  <c r="T813" i="8"/>
  <c r="Z813" i="8" s="1"/>
  <c r="V817" i="8"/>
  <c r="AB817" i="8" s="1"/>
  <c r="V814" i="8"/>
  <c r="AB814" i="8" s="1"/>
  <c r="T810" i="8"/>
  <c r="Z810" i="8" s="1"/>
  <c r="V812" i="8"/>
  <c r="AB812" i="8" s="1"/>
  <c r="U814" i="8"/>
  <c r="AA814" i="8" s="1"/>
  <c r="AE814" i="8"/>
  <c r="U817" i="8"/>
  <c r="AA817" i="8" s="1"/>
  <c r="T808" i="8"/>
  <c r="Z808" i="8" s="1"/>
  <c r="V810" i="8"/>
  <c r="AB810" i="8" s="1"/>
  <c r="U813" i="8"/>
  <c r="AA813" i="8" s="1"/>
  <c r="T818" i="8"/>
  <c r="Z818" i="8" s="1"/>
  <c r="U808" i="8"/>
  <c r="AA808" i="8" s="1"/>
  <c r="AE808" i="8"/>
  <c r="T811" i="8"/>
  <c r="Z811" i="8" s="1"/>
  <c r="V813" i="8"/>
  <c r="AB813" i="8" s="1"/>
  <c r="U818" i="8"/>
  <c r="AA818" i="8" s="1"/>
  <c r="V808" i="8"/>
  <c r="AB808" i="8" s="1"/>
  <c r="U811" i="8"/>
  <c r="AA811" i="8" s="1"/>
  <c r="T816" i="8"/>
  <c r="Z816" i="8" s="1"/>
  <c r="V818" i="8"/>
  <c r="AB818" i="8" s="1"/>
  <c r="V811" i="8"/>
  <c r="AB811" i="8" s="1"/>
  <c r="U816" i="8"/>
  <c r="AA816" i="8" s="1"/>
  <c r="T819" i="8"/>
  <c r="Z819" i="8" s="1"/>
  <c r="T812" i="8"/>
  <c r="Z812" i="8" s="1"/>
  <c r="V816" i="8"/>
  <c r="AB816" i="8" s="1"/>
  <c r="U819" i="8"/>
  <c r="AA819" i="8" s="1"/>
  <c r="T814" i="8"/>
  <c r="Z814" i="8" s="1"/>
  <c r="T817" i="8"/>
  <c r="Z817" i="8" s="1"/>
  <c r="U721" i="8"/>
  <c r="AA721" i="8" s="1"/>
  <c r="U717" i="8"/>
  <c r="AA717" i="8" s="1"/>
  <c r="T721" i="8"/>
  <c r="Z721" i="8" s="1"/>
  <c r="U719" i="8"/>
  <c r="AA719" i="8" s="1"/>
  <c r="V722" i="8"/>
  <c r="AB722" i="8" s="1"/>
  <c r="T720" i="8"/>
  <c r="Z720" i="8" s="1"/>
  <c r="V728" i="8"/>
  <c r="AB728" i="8" s="1"/>
  <c r="U727" i="8"/>
  <c r="AA727" i="8" s="1"/>
  <c r="V725" i="8"/>
  <c r="AB725" i="8" s="1"/>
  <c r="V726" i="8"/>
  <c r="AB726" i="8" s="1"/>
  <c r="V723" i="8"/>
  <c r="AB723" i="8" s="1"/>
  <c r="U728" i="8"/>
  <c r="AA728" i="8" s="1"/>
  <c r="T723" i="8"/>
  <c r="Z723" i="8" s="1"/>
  <c r="AE651" i="8"/>
  <c r="AE718" i="8"/>
  <c r="T726" i="8"/>
  <c r="Z726" i="8" s="1"/>
  <c r="T719" i="8"/>
  <c r="Z719" i="8" s="1"/>
  <c r="V721" i="8"/>
  <c r="AB721" i="8" s="1"/>
  <c r="U723" i="8"/>
  <c r="AA723" i="8" s="1"/>
  <c r="AE723" i="8"/>
  <c r="U726" i="8"/>
  <c r="AA726" i="8" s="1"/>
  <c r="T722" i="8"/>
  <c r="Z722" i="8" s="1"/>
  <c r="T717" i="8"/>
  <c r="Z717" i="8" s="1"/>
  <c r="V719" i="8"/>
  <c r="AB719" i="8" s="1"/>
  <c r="U722" i="8"/>
  <c r="AA722" i="8" s="1"/>
  <c r="T727" i="8"/>
  <c r="Z727" i="8" s="1"/>
  <c r="V717" i="8"/>
  <c r="AB717" i="8" s="1"/>
  <c r="U720" i="8"/>
  <c r="AA720" i="8" s="1"/>
  <c r="T725" i="8"/>
  <c r="Z725" i="8" s="1"/>
  <c r="V727" i="8"/>
  <c r="AB727" i="8" s="1"/>
  <c r="V720" i="8"/>
  <c r="AB720" i="8" s="1"/>
  <c r="U725" i="8"/>
  <c r="AA725" i="8" s="1"/>
  <c r="T728" i="8"/>
  <c r="Z728" i="8" s="1"/>
  <c r="AB655" i="8"/>
  <c r="U648" i="8"/>
  <c r="AA648" i="8" s="1"/>
  <c r="U646" i="8"/>
  <c r="AA646" i="8" s="1"/>
  <c r="T649" i="8"/>
  <c r="Z649" i="8" s="1"/>
  <c r="V653" i="8"/>
  <c r="AB653" i="8" s="1"/>
  <c r="V650" i="8"/>
  <c r="AB650" i="8" s="1"/>
  <c r="AB564" i="8"/>
  <c r="T646" i="8"/>
  <c r="Z646" i="8" s="1"/>
  <c r="V648" i="8"/>
  <c r="AB648" i="8" s="1"/>
  <c r="U650" i="8"/>
  <c r="AA650" i="8" s="1"/>
  <c r="U653" i="8"/>
  <c r="AA653" i="8" s="1"/>
  <c r="T644" i="8"/>
  <c r="Z644" i="8" s="1"/>
  <c r="V646" i="8"/>
  <c r="AB646" i="8" s="1"/>
  <c r="U649" i="8"/>
  <c r="AA649" i="8" s="1"/>
  <c r="T654" i="8"/>
  <c r="Z654" i="8" s="1"/>
  <c r="U644" i="8"/>
  <c r="AA644" i="8" s="1"/>
  <c r="AE644" i="8"/>
  <c r="T647" i="8"/>
  <c r="Z647" i="8" s="1"/>
  <c r="V649" i="8"/>
  <c r="AB649" i="8" s="1"/>
  <c r="U654" i="8"/>
  <c r="AA654" i="8" s="1"/>
  <c r="V644" i="8"/>
  <c r="AB644" i="8" s="1"/>
  <c r="U647" i="8"/>
  <c r="AA647" i="8" s="1"/>
  <c r="T652" i="8"/>
  <c r="Z652" i="8" s="1"/>
  <c r="V654" i="8"/>
  <c r="AB654" i="8" s="1"/>
  <c r="V647" i="8"/>
  <c r="AB647" i="8" s="1"/>
  <c r="U652" i="8"/>
  <c r="AA652" i="8" s="1"/>
  <c r="T655" i="8"/>
  <c r="Z655" i="8" s="1"/>
  <c r="T648" i="8"/>
  <c r="Z648" i="8" s="1"/>
  <c r="V652" i="8"/>
  <c r="AB652" i="8" s="1"/>
  <c r="U655" i="8"/>
  <c r="AA655" i="8" s="1"/>
  <c r="T650" i="8"/>
  <c r="Z650" i="8" s="1"/>
  <c r="T653" i="8"/>
  <c r="Z653" i="8" s="1"/>
  <c r="AE559" i="8"/>
  <c r="Z484" i="8"/>
  <c r="U559" i="8"/>
  <c r="AA559" i="8" s="1"/>
  <c r="U562" i="8"/>
  <c r="AA562" i="8" s="1"/>
  <c r="U555" i="8"/>
  <c r="AA555" i="8" s="1"/>
  <c r="T558" i="8"/>
  <c r="Z558" i="8" s="1"/>
  <c r="V559" i="8"/>
  <c r="AB559" i="8" s="1"/>
  <c r="V562" i="8"/>
  <c r="AB562" i="8" s="1"/>
  <c r="T555" i="8"/>
  <c r="Z555" i="8" s="1"/>
  <c r="V557" i="8"/>
  <c r="AB557" i="8" s="1"/>
  <c r="T553" i="8"/>
  <c r="Z553" i="8" s="1"/>
  <c r="V555" i="8"/>
  <c r="AB555" i="8" s="1"/>
  <c r="U558" i="8"/>
  <c r="AA558" i="8" s="1"/>
  <c r="T563" i="8"/>
  <c r="Z563" i="8" s="1"/>
  <c r="AE553" i="8"/>
  <c r="T556" i="8"/>
  <c r="Z556" i="8" s="1"/>
  <c r="V558" i="8"/>
  <c r="AB558" i="8" s="1"/>
  <c r="U563" i="8"/>
  <c r="AA563" i="8" s="1"/>
  <c r="T561" i="8"/>
  <c r="Z561" i="8" s="1"/>
  <c r="V563" i="8"/>
  <c r="AB563" i="8" s="1"/>
  <c r="U553" i="8"/>
  <c r="AA553" i="8" s="1"/>
  <c r="V553" i="8"/>
  <c r="AB553" i="8" s="1"/>
  <c r="U556" i="8"/>
  <c r="AA556" i="8" s="1"/>
  <c r="V556" i="8"/>
  <c r="AB556" i="8" s="1"/>
  <c r="U561" i="8"/>
  <c r="AA561" i="8" s="1"/>
  <c r="T564" i="8"/>
  <c r="Z564" i="8" s="1"/>
  <c r="T557" i="8"/>
  <c r="Z557" i="8" s="1"/>
  <c r="V561" i="8"/>
  <c r="AB561" i="8" s="1"/>
  <c r="U564" i="8"/>
  <c r="AA564" i="8" s="1"/>
  <c r="T559" i="8"/>
  <c r="Z559" i="8" s="1"/>
  <c r="T562" i="8"/>
  <c r="Z562" i="8" s="1"/>
  <c r="AB182" i="8"/>
  <c r="U482" i="8"/>
  <c r="AA482" i="8" s="1"/>
  <c r="AA290" i="8"/>
  <c r="AB491" i="8"/>
  <c r="U480" i="8"/>
  <c r="AA480" i="8" s="1"/>
  <c r="V489" i="8"/>
  <c r="AB489" i="8" s="1"/>
  <c r="T485" i="8"/>
  <c r="Z485" i="8" s="1"/>
  <c r="V486" i="8"/>
  <c r="AB486" i="8" s="1"/>
  <c r="U484" i="8"/>
  <c r="AA484" i="8" s="1"/>
  <c r="T486" i="8"/>
  <c r="Z486" i="8" s="1"/>
  <c r="T482" i="8"/>
  <c r="Z482" i="8" s="1"/>
  <c r="V484" i="8"/>
  <c r="AB484" i="8" s="1"/>
  <c r="U486" i="8"/>
  <c r="AA486" i="8" s="1"/>
  <c r="AE486" i="8"/>
  <c r="U489" i="8"/>
  <c r="AA489" i="8" s="1"/>
  <c r="T480" i="8"/>
  <c r="Z480" i="8" s="1"/>
  <c r="V482" i="8"/>
  <c r="AB482" i="8" s="1"/>
  <c r="U485" i="8"/>
  <c r="AA485" i="8" s="1"/>
  <c r="T490" i="8"/>
  <c r="Z490" i="8" s="1"/>
  <c r="V485" i="8"/>
  <c r="AB485" i="8" s="1"/>
  <c r="U490" i="8"/>
  <c r="AA490" i="8" s="1"/>
  <c r="V490" i="8"/>
  <c r="AB490" i="8" s="1"/>
  <c r="AE480" i="8"/>
  <c r="T483" i="8"/>
  <c r="Z483" i="8" s="1"/>
  <c r="V480" i="8"/>
  <c r="AB480" i="8" s="1"/>
  <c r="U483" i="8"/>
  <c r="AA483" i="8" s="1"/>
  <c r="T488" i="8"/>
  <c r="Z488" i="8" s="1"/>
  <c r="V483" i="8"/>
  <c r="AB483" i="8" s="1"/>
  <c r="U488" i="8"/>
  <c r="AA488" i="8" s="1"/>
  <c r="T491" i="8"/>
  <c r="Z491" i="8" s="1"/>
  <c r="V488" i="8"/>
  <c r="AB488" i="8" s="1"/>
  <c r="U491" i="8"/>
  <c r="AA491" i="8" s="1"/>
  <c r="T489" i="8"/>
  <c r="Z489" i="8" s="1"/>
  <c r="AE395" i="8"/>
  <c r="U393" i="8"/>
  <c r="AA393" i="8" s="1"/>
  <c r="V393" i="8"/>
  <c r="AB393" i="8" s="1"/>
  <c r="T393" i="8"/>
  <c r="Z393" i="8" s="1"/>
  <c r="T394" i="8"/>
  <c r="Z394" i="8" s="1"/>
  <c r="V392" i="8"/>
  <c r="AB392" i="8" s="1"/>
  <c r="U391" i="8"/>
  <c r="AA391" i="8" s="1"/>
  <c r="U392" i="8"/>
  <c r="AA392" i="8" s="1"/>
  <c r="V389" i="8"/>
  <c r="AB389" i="8" s="1"/>
  <c r="T391" i="8"/>
  <c r="Z391" i="8" s="1"/>
  <c r="V394" i="8"/>
  <c r="AB394" i="8" s="1"/>
  <c r="T392" i="8"/>
  <c r="Z392" i="8" s="1"/>
  <c r="U389" i="8"/>
  <c r="AA389" i="8" s="1"/>
  <c r="U394" i="8"/>
  <c r="AA394" i="8" s="1"/>
  <c r="V391" i="8"/>
  <c r="AB391" i="8" s="1"/>
  <c r="T389" i="8"/>
  <c r="Z389" i="8" s="1"/>
  <c r="V400" i="8"/>
  <c r="AB400" i="8" s="1"/>
  <c r="T398" i="8"/>
  <c r="Z398" i="8" s="1"/>
  <c r="T395" i="8"/>
  <c r="Z395" i="8" s="1"/>
  <c r="U400" i="8"/>
  <c r="AA400" i="8" s="1"/>
  <c r="V397" i="8"/>
  <c r="AB397" i="8" s="1"/>
  <c r="V395" i="8"/>
  <c r="AB395" i="8" s="1"/>
  <c r="U398" i="8"/>
  <c r="AA398" i="8" s="1"/>
  <c r="T400" i="8"/>
  <c r="Z400" i="8" s="1"/>
  <c r="U397" i="8"/>
  <c r="AA397" i="8" s="1"/>
  <c r="V398" i="8"/>
  <c r="AB398" i="8" s="1"/>
  <c r="U395" i="8"/>
  <c r="AA395" i="8" s="1"/>
  <c r="V399" i="8"/>
  <c r="AB399" i="8" s="1"/>
  <c r="T397" i="8"/>
  <c r="Z397" i="8" s="1"/>
  <c r="U399" i="8"/>
  <c r="AA399" i="8" s="1"/>
  <c r="T399" i="8"/>
  <c r="Z399" i="8" s="1"/>
  <c r="AE389" i="8"/>
  <c r="V297" i="8"/>
  <c r="AB297" i="8" s="1"/>
  <c r="U292" i="8"/>
  <c r="AA292" i="8" s="1"/>
  <c r="T292" i="8"/>
  <c r="Z292" i="8" s="1"/>
  <c r="AE292" i="8"/>
  <c r="T288" i="8"/>
  <c r="Z288" i="8" s="1"/>
  <c r="V290" i="8"/>
  <c r="AB290" i="8" s="1"/>
  <c r="U288" i="8"/>
  <c r="AA288" i="8" s="1"/>
  <c r="T291" i="8"/>
  <c r="Z291" i="8" s="1"/>
  <c r="V292" i="8"/>
  <c r="AB292" i="8" s="1"/>
  <c r="V295" i="8"/>
  <c r="AB295" i="8" s="1"/>
  <c r="U295" i="8"/>
  <c r="AA295" i="8" s="1"/>
  <c r="T286" i="8"/>
  <c r="Z286" i="8" s="1"/>
  <c r="V288" i="8"/>
  <c r="AB288" i="8" s="1"/>
  <c r="U291" i="8"/>
  <c r="AA291" i="8" s="1"/>
  <c r="T296" i="8"/>
  <c r="Z296" i="8" s="1"/>
  <c r="AE286" i="8"/>
  <c r="T289" i="8"/>
  <c r="Z289" i="8" s="1"/>
  <c r="V291" i="8"/>
  <c r="AB291" i="8" s="1"/>
  <c r="U296" i="8"/>
  <c r="AA296" i="8" s="1"/>
  <c r="V286" i="8"/>
  <c r="AB286" i="8" s="1"/>
  <c r="U289" i="8"/>
  <c r="AA289" i="8" s="1"/>
  <c r="T294" i="8"/>
  <c r="Z294" i="8" s="1"/>
  <c r="V296" i="8"/>
  <c r="AB296" i="8" s="1"/>
  <c r="U286" i="8"/>
  <c r="AA286" i="8" s="1"/>
  <c r="V289" i="8"/>
  <c r="AB289" i="8" s="1"/>
  <c r="U294" i="8"/>
  <c r="AA294" i="8" s="1"/>
  <c r="T297" i="8"/>
  <c r="Z297" i="8" s="1"/>
  <c r="T290" i="8"/>
  <c r="Z290" i="8" s="1"/>
  <c r="V294" i="8"/>
  <c r="AB294" i="8" s="1"/>
  <c r="U297" i="8"/>
  <c r="AA297" i="8" s="1"/>
  <c r="T295" i="8"/>
  <c r="Z295" i="8" s="1"/>
  <c r="V180" i="8"/>
  <c r="AB180" i="8" s="1"/>
  <c r="V177" i="8"/>
  <c r="AB177" i="8" s="1"/>
  <c r="U175" i="8"/>
  <c r="AA175" i="8" s="1"/>
  <c r="U173" i="8"/>
  <c r="AA173" i="8" s="1"/>
  <c r="T175" i="8"/>
  <c r="Z175" i="8" s="1"/>
  <c r="V174" i="8"/>
  <c r="AB174" i="8" s="1"/>
  <c r="V171" i="8"/>
  <c r="AB171" i="8" s="1"/>
  <c r="T176" i="8"/>
  <c r="Z176" i="8" s="1"/>
  <c r="U174" i="8"/>
  <c r="AA174" i="8" s="1"/>
  <c r="U171" i="8"/>
  <c r="AA171" i="8" s="1"/>
  <c r="T171" i="8"/>
  <c r="Z171" i="8" s="1"/>
  <c r="V176" i="8"/>
  <c r="AB176" i="8" s="1"/>
  <c r="T174" i="8"/>
  <c r="Z174" i="8" s="1"/>
  <c r="U176" i="8"/>
  <c r="AA176" i="8" s="1"/>
  <c r="V173" i="8"/>
  <c r="AB173" i="8" s="1"/>
  <c r="V175" i="8"/>
  <c r="AB175" i="8" s="1"/>
  <c r="T173" i="8"/>
  <c r="Z173" i="8" s="1"/>
  <c r="U177" i="8"/>
  <c r="AA177" i="8" s="1"/>
  <c r="AE177" i="8"/>
  <c r="U180" i="8"/>
  <c r="AA180" i="8" s="1"/>
  <c r="T181" i="8"/>
  <c r="Z181" i="8" s="1"/>
  <c r="U181" i="8"/>
  <c r="AA181" i="8" s="1"/>
  <c r="AE171" i="8"/>
  <c r="T179" i="8"/>
  <c r="Z179" i="8" s="1"/>
  <c r="V181" i="8"/>
  <c r="AB181" i="8" s="1"/>
  <c r="U179" i="8"/>
  <c r="AA179" i="8" s="1"/>
  <c r="T182" i="8"/>
  <c r="Z182" i="8" s="1"/>
  <c r="V179" i="8"/>
  <c r="AB179" i="8" s="1"/>
  <c r="U182" i="8"/>
  <c r="AA182" i="8" s="1"/>
  <c r="T177" i="8"/>
  <c r="Z177" i="8" s="1"/>
  <c r="T180" i="8"/>
  <c r="Z180" i="8" s="1"/>
  <c r="AE74" i="8"/>
  <c r="V79" i="8"/>
  <c r="AB79" i="8" s="1"/>
  <c r="T77" i="8"/>
  <c r="Z77" i="8" s="1"/>
  <c r="T74" i="8"/>
  <c r="Z74" i="8" s="1"/>
  <c r="T79" i="8"/>
  <c r="Z79" i="8" s="1"/>
  <c r="U76" i="8"/>
  <c r="AA76" i="8" s="1"/>
  <c r="V74" i="8"/>
  <c r="AB74" i="8" s="1"/>
  <c r="V78" i="8"/>
  <c r="AB78" i="8" s="1"/>
  <c r="T76" i="8"/>
  <c r="Z76" i="8" s="1"/>
  <c r="U78" i="8"/>
  <c r="AA78" i="8" s="1"/>
  <c r="T78" i="8"/>
  <c r="Z78" i="8" s="1"/>
  <c r="U74" i="8"/>
  <c r="AA74" i="8" s="1"/>
  <c r="V77" i="8"/>
  <c r="AB77" i="8" s="1"/>
  <c r="U77" i="8"/>
  <c r="AA77" i="8" s="1"/>
  <c r="U79" i="8"/>
  <c r="AA79" i="8" s="1"/>
  <c r="V76" i="8"/>
  <c r="AB76" i="8" s="1"/>
  <c r="Y73" i="8"/>
  <c r="X73" i="8"/>
  <c r="AE73" i="8" s="1"/>
  <c r="W73" i="8"/>
  <c r="Y72" i="8"/>
  <c r="X72" i="8"/>
  <c r="AE72" i="8" s="1"/>
  <c r="W72" i="8"/>
  <c r="Y71" i="8"/>
  <c r="X71" i="8"/>
  <c r="AE71" i="8" s="1"/>
  <c r="W71" i="8"/>
  <c r="Y70" i="8"/>
  <c r="X70" i="8"/>
  <c r="AE70" i="8" s="1"/>
  <c r="W70" i="8"/>
  <c r="Y68" i="8"/>
  <c r="X68" i="8"/>
  <c r="AE68" i="8" s="1"/>
  <c r="W68" i="8"/>
  <c r="O68" i="8"/>
  <c r="K68" i="8"/>
  <c r="I68" i="8" s="1"/>
  <c r="Y1166" i="8"/>
  <c r="X1166" i="8"/>
  <c r="AE1166" i="8" s="1"/>
  <c r="W1166" i="8"/>
  <c r="Y1165" i="8"/>
  <c r="X1165" i="8"/>
  <c r="AE1165" i="8" s="1"/>
  <c r="W1165" i="8"/>
  <c r="Y1164" i="8"/>
  <c r="X1164" i="8"/>
  <c r="AE1164" i="8" s="1"/>
  <c r="W1164" i="8"/>
  <c r="Y1163" i="8"/>
  <c r="X1163" i="8"/>
  <c r="AE1163" i="8" s="1"/>
  <c r="W1163" i="8"/>
  <c r="Y1161" i="8"/>
  <c r="X1161" i="8"/>
  <c r="AE1161" i="8" s="1"/>
  <c r="W1161" i="8"/>
  <c r="O1161" i="8"/>
  <c r="K1161" i="8"/>
  <c r="I1161" i="8" s="1"/>
  <c r="Y1160" i="8"/>
  <c r="X1160" i="8"/>
  <c r="AE1160" i="8" s="1"/>
  <c r="W1160" i="8"/>
  <c r="Y1159" i="8"/>
  <c r="X1159" i="8"/>
  <c r="AE1159" i="8" s="1"/>
  <c r="W1159" i="8"/>
  <c r="Y1158" i="8"/>
  <c r="X1158" i="8"/>
  <c r="AE1158" i="8" s="1"/>
  <c r="W1158" i="8"/>
  <c r="Y1157" i="8"/>
  <c r="X1157" i="8"/>
  <c r="AE1157" i="8" s="1"/>
  <c r="W1157" i="8"/>
  <c r="Y1155" i="8"/>
  <c r="X1155" i="8"/>
  <c r="AE1156" i="8" s="1"/>
  <c r="W1155" i="8"/>
  <c r="O1155" i="8"/>
  <c r="K1155" i="8"/>
  <c r="I1155" i="8" s="1"/>
  <c r="Y1154" i="8"/>
  <c r="X1154" i="8"/>
  <c r="AE1154" i="8" s="1"/>
  <c r="W1154" i="8"/>
  <c r="Y1153" i="8"/>
  <c r="X1153" i="8"/>
  <c r="AE1153" i="8" s="1"/>
  <c r="W1153" i="8"/>
  <c r="Y1152" i="8"/>
  <c r="X1152" i="8"/>
  <c r="AE1152" i="8" s="1"/>
  <c r="W1152" i="8"/>
  <c r="Y1151" i="8"/>
  <c r="X1151" i="8"/>
  <c r="AE1151" i="8" s="1"/>
  <c r="W1151" i="8"/>
  <c r="Y1149" i="8"/>
  <c r="X1149" i="8"/>
  <c r="AE1150" i="8" s="1"/>
  <c r="W1149" i="8"/>
  <c r="O1149" i="8"/>
  <c r="K1149" i="8"/>
  <c r="I1149" i="8" s="1"/>
  <c r="Y1105" i="8"/>
  <c r="X1105" i="8"/>
  <c r="AE1105" i="8" s="1"/>
  <c r="W1105" i="8"/>
  <c r="Y1104" i="8"/>
  <c r="X1104" i="8"/>
  <c r="AE1104" i="8" s="1"/>
  <c r="W1104" i="8"/>
  <c r="Y1103" i="8"/>
  <c r="X1103" i="8"/>
  <c r="AE1103" i="8" s="1"/>
  <c r="W1103" i="8"/>
  <c r="Y1102" i="8"/>
  <c r="X1102" i="8"/>
  <c r="AE1102" i="8" s="1"/>
  <c r="W1102" i="8"/>
  <c r="Y1100" i="8"/>
  <c r="X1100" i="8"/>
  <c r="AE1101" i="8" s="1"/>
  <c r="W1100" i="8"/>
  <c r="O1100" i="8"/>
  <c r="K1100" i="8"/>
  <c r="I1100" i="8" s="1"/>
  <c r="Y1099" i="8"/>
  <c r="X1099" i="8"/>
  <c r="AE1099" i="8" s="1"/>
  <c r="W1099" i="8"/>
  <c r="Y1098" i="8"/>
  <c r="X1098" i="8"/>
  <c r="AE1098" i="8" s="1"/>
  <c r="W1098" i="8"/>
  <c r="Y1097" i="8"/>
  <c r="X1097" i="8"/>
  <c r="AE1097" i="8" s="1"/>
  <c r="W1097" i="8"/>
  <c r="Y1096" i="8"/>
  <c r="X1096" i="8"/>
  <c r="AE1096" i="8" s="1"/>
  <c r="W1096" i="8"/>
  <c r="Y1094" i="8"/>
  <c r="X1094" i="8"/>
  <c r="AE1095" i="8" s="1"/>
  <c r="W1094" i="8"/>
  <c r="O1094" i="8"/>
  <c r="K1094" i="8"/>
  <c r="I1094" i="8" s="1"/>
  <c r="V1098" i="8" s="1"/>
  <c r="Y1093" i="8"/>
  <c r="X1093" i="8"/>
  <c r="AE1093" i="8" s="1"/>
  <c r="W1093" i="8"/>
  <c r="Y1092" i="8"/>
  <c r="X1092" i="8"/>
  <c r="AE1092" i="8" s="1"/>
  <c r="W1092" i="8"/>
  <c r="Y1091" i="8"/>
  <c r="X1091" i="8"/>
  <c r="AE1091" i="8" s="1"/>
  <c r="W1091" i="8"/>
  <c r="Y1090" i="8"/>
  <c r="X1090" i="8"/>
  <c r="AE1090" i="8" s="1"/>
  <c r="W1090" i="8"/>
  <c r="Y1088" i="8"/>
  <c r="X1088" i="8"/>
  <c r="AE1089" i="8" s="1"/>
  <c r="W1088" i="8"/>
  <c r="O1088" i="8"/>
  <c r="K1088" i="8"/>
  <c r="I1088" i="8" s="1"/>
  <c r="Y1032" i="8"/>
  <c r="X1032" i="8"/>
  <c r="AE1032" i="8" s="1"/>
  <c r="W1032" i="8"/>
  <c r="Y1031" i="8"/>
  <c r="X1031" i="8"/>
  <c r="AE1031" i="8" s="1"/>
  <c r="W1031" i="8"/>
  <c r="Y1030" i="8"/>
  <c r="X1030" i="8"/>
  <c r="AE1030" i="8" s="1"/>
  <c r="W1030" i="8"/>
  <c r="Y1029" i="8"/>
  <c r="X1029" i="8"/>
  <c r="AE1029" i="8" s="1"/>
  <c r="W1029" i="8"/>
  <c r="Y1027" i="8"/>
  <c r="X1027" i="8"/>
  <c r="AE1027" i="8" s="1"/>
  <c r="W1027" i="8"/>
  <c r="O1027" i="8"/>
  <c r="K1027" i="8"/>
  <c r="I1027" i="8" s="1"/>
  <c r="Y1026" i="8"/>
  <c r="X1026" i="8"/>
  <c r="AE1026" i="8" s="1"/>
  <c r="W1026" i="8"/>
  <c r="Y1025" i="8"/>
  <c r="X1025" i="8"/>
  <c r="AE1025" i="8" s="1"/>
  <c r="W1025" i="8"/>
  <c r="Y1024" i="8"/>
  <c r="X1024" i="8"/>
  <c r="AE1024" i="8" s="1"/>
  <c r="W1024" i="8"/>
  <c r="Y1023" i="8"/>
  <c r="X1023" i="8"/>
  <c r="AE1023" i="8" s="1"/>
  <c r="W1023" i="8"/>
  <c r="Y1021" i="8"/>
  <c r="X1021" i="8"/>
  <c r="AE1022" i="8" s="1"/>
  <c r="W1021" i="8"/>
  <c r="O1021" i="8"/>
  <c r="K1021" i="8"/>
  <c r="I1021" i="8" s="1"/>
  <c r="V1025" i="8" s="1"/>
  <c r="Y1020" i="8"/>
  <c r="X1020" i="8"/>
  <c r="AE1020" i="8" s="1"/>
  <c r="W1020" i="8"/>
  <c r="Y1019" i="8"/>
  <c r="X1019" i="8"/>
  <c r="AE1019" i="8" s="1"/>
  <c r="W1019" i="8"/>
  <c r="Y1018" i="8"/>
  <c r="X1018" i="8"/>
  <c r="AE1018" i="8" s="1"/>
  <c r="W1018" i="8"/>
  <c r="Y1017" i="8"/>
  <c r="X1017" i="8"/>
  <c r="AE1017" i="8" s="1"/>
  <c r="W1017" i="8"/>
  <c r="Y1015" i="8"/>
  <c r="X1015" i="8"/>
  <c r="AE1015" i="8" s="1"/>
  <c r="W1015" i="8"/>
  <c r="O1015" i="8"/>
  <c r="K1015" i="8"/>
  <c r="I1015" i="8" s="1"/>
  <c r="Y941" i="8"/>
  <c r="X941" i="8"/>
  <c r="AE941" i="8" s="1"/>
  <c r="W941" i="8"/>
  <c r="Y940" i="8"/>
  <c r="X940" i="8"/>
  <c r="AE940" i="8" s="1"/>
  <c r="W940" i="8"/>
  <c r="Y939" i="8"/>
  <c r="X939" i="8"/>
  <c r="AE939" i="8" s="1"/>
  <c r="W939" i="8"/>
  <c r="Y938" i="8"/>
  <c r="X938" i="8"/>
  <c r="AE938" i="8" s="1"/>
  <c r="W938" i="8"/>
  <c r="Y936" i="8"/>
  <c r="X936" i="8"/>
  <c r="AE937" i="8" s="1"/>
  <c r="W936" i="8"/>
  <c r="O936" i="8"/>
  <c r="K936" i="8"/>
  <c r="I936" i="8" s="1"/>
  <c r="Y935" i="8"/>
  <c r="X935" i="8"/>
  <c r="AE935" i="8" s="1"/>
  <c r="W935" i="8"/>
  <c r="Y934" i="8"/>
  <c r="X934" i="8"/>
  <c r="AE934" i="8" s="1"/>
  <c r="W934" i="8"/>
  <c r="Y933" i="8"/>
  <c r="X933" i="8"/>
  <c r="AE933" i="8" s="1"/>
  <c r="W933" i="8"/>
  <c r="Y932" i="8"/>
  <c r="X932" i="8"/>
  <c r="AE932" i="8" s="1"/>
  <c r="W932" i="8"/>
  <c r="Y930" i="8"/>
  <c r="X930" i="8"/>
  <c r="AE931" i="8" s="1"/>
  <c r="W930" i="8"/>
  <c r="O930" i="8"/>
  <c r="K930" i="8"/>
  <c r="I930" i="8" s="1"/>
  <c r="Y929" i="8"/>
  <c r="X929" i="8"/>
  <c r="AE929" i="8" s="1"/>
  <c r="W929" i="8"/>
  <c r="Y928" i="8"/>
  <c r="X928" i="8"/>
  <c r="AE928" i="8" s="1"/>
  <c r="W928" i="8"/>
  <c r="Y927" i="8"/>
  <c r="X927" i="8"/>
  <c r="AE927" i="8" s="1"/>
  <c r="W927" i="8"/>
  <c r="Y926" i="8"/>
  <c r="X926" i="8"/>
  <c r="AE926" i="8" s="1"/>
  <c r="W926" i="8"/>
  <c r="Y924" i="8"/>
  <c r="X924" i="8"/>
  <c r="AE924" i="8" s="1"/>
  <c r="W924" i="8"/>
  <c r="O924" i="8"/>
  <c r="K924" i="8"/>
  <c r="I924" i="8" s="1"/>
  <c r="Y880" i="8"/>
  <c r="X880" i="8"/>
  <c r="AE880" i="8" s="1"/>
  <c r="W880" i="8"/>
  <c r="Y879" i="8"/>
  <c r="X879" i="8"/>
  <c r="AE879" i="8" s="1"/>
  <c r="W879" i="8"/>
  <c r="Y878" i="8"/>
  <c r="X878" i="8"/>
  <c r="AE878" i="8" s="1"/>
  <c r="W878" i="8"/>
  <c r="Y877" i="8"/>
  <c r="X877" i="8"/>
  <c r="AE877" i="8" s="1"/>
  <c r="W877" i="8"/>
  <c r="Y875" i="8"/>
  <c r="X875" i="8"/>
  <c r="AE876" i="8" s="1"/>
  <c r="W875" i="8"/>
  <c r="O875" i="8"/>
  <c r="K875" i="8"/>
  <c r="I875" i="8" s="1"/>
  <c r="U878" i="8" s="1"/>
  <c r="Y874" i="8"/>
  <c r="X874" i="8"/>
  <c r="AE874" i="8" s="1"/>
  <c r="W874" i="8"/>
  <c r="Y873" i="8"/>
  <c r="X873" i="8"/>
  <c r="AE873" i="8" s="1"/>
  <c r="W873" i="8"/>
  <c r="Y872" i="8"/>
  <c r="X872" i="8"/>
  <c r="AE872" i="8" s="1"/>
  <c r="W872" i="8"/>
  <c r="Y871" i="8"/>
  <c r="X871" i="8"/>
  <c r="AE871" i="8" s="1"/>
  <c r="W871" i="8"/>
  <c r="Y869" i="8"/>
  <c r="X869" i="8"/>
  <c r="AE870" i="8" s="1"/>
  <c r="W869" i="8"/>
  <c r="O869" i="8"/>
  <c r="K869" i="8"/>
  <c r="I869" i="8" s="1"/>
  <c r="V873" i="8" s="1"/>
  <c r="Y868" i="8"/>
  <c r="X868" i="8"/>
  <c r="AE868" i="8" s="1"/>
  <c r="W868" i="8"/>
  <c r="Y867" i="8"/>
  <c r="X867" i="8"/>
  <c r="AE867" i="8" s="1"/>
  <c r="W867" i="8"/>
  <c r="Y866" i="8"/>
  <c r="X866" i="8"/>
  <c r="AE866" i="8" s="1"/>
  <c r="W866" i="8"/>
  <c r="Y865" i="8"/>
  <c r="X865" i="8"/>
  <c r="AE865" i="8" s="1"/>
  <c r="W865" i="8"/>
  <c r="Y863" i="8"/>
  <c r="X863" i="8"/>
  <c r="AE864" i="8" s="1"/>
  <c r="W863" i="8"/>
  <c r="O863" i="8"/>
  <c r="K863" i="8"/>
  <c r="I863" i="8" s="1"/>
  <c r="Y807" i="8"/>
  <c r="X807" i="8"/>
  <c r="AE807" i="8" s="1"/>
  <c r="W807" i="8"/>
  <c r="Y806" i="8"/>
  <c r="X806" i="8"/>
  <c r="AE806" i="8" s="1"/>
  <c r="W806" i="8"/>
  <c r="Y805" i="8"/>
  <c r="X805" i="8"/>
  <c r="AE805" i="8" s="1"/>
  <c r="W805" i="8"/>
  <c r="Y804" i="8"/>
  <c r="X804" i="8"/>
  <c r="AE804" i="8" s="1"/>
  <c r="W804" i="8"/>
  <c r="Y802" i="8"/>
  <c r="X802" i="8"/>
  <c r="AE802" i="8" s="1"/>
  <c r="W802" i="8"/>
  <c r="O802" i="8"/>
  <c r="K802" i="8"/>
  <c r="I802" i="8" s="1"/>
  <c r="Y801" i="8"/>
  <c r="X801" i="8"/>
  <c r="AE801" i="8" s="1"/>
  <c r="W801" i="8"/>
  <c r="Y800" i="8"/>
  <c r="X800" i="8"/>
  <c r="AE800" i="8" s="1"/>
  <c r="W800" i="8"/>
  <c r="Y799" i="8"/>
  <c r="X799" i="8"/>
  <c r="AE799" i="8" s="1"/>
  <c r="W799" i="8"/>
  <c r="Y798" i="8"/>
  <c r="X798" i="8"/>
  <c r="AE798" i="8" s="1"/>
  <c r="W798" i="8"/>
  <c r="Y796" i="8"/>
  <c r="X796" i="8"/>
  <c r="AE797" i="8" s="1"/>
  <c r="W796" i="8"/>
  <c r="O796" i="8"/>
  <c r="K796" i="8"/>
  <c r="I796" i="8" s="1"/>
  <c r="Y795" i="8"/>
  <c r="X795" i="8"/>
  <c r="AE795" i="8" s="1"/>
  <c r="W795" i="8"/>
  <c r="Y794" i="8"/>
  <c r="X794" i="8"/>
  <c r="AE794" i="8" s="1"/>
  <c r="W794" i="8"/>
  <c r="Y793" i="8"/>
  <c r="X793" i="8"/>
  <c r="AE793" i="8" s="1"/>
  <c r="W793" i="8"/>
  <c r="Y792" i="8"/>
  <c r="X792" i="8"/>
  <c r="AE792" i="8" s="1"/>
  <c r="W792" i="8"/>
  <c r="Y790" i="8"/>
  <c r="X790" i="8"/>
  <c r="AE790" i="8" s="1"/>
  <c r="W790" i="8"/>
  <c r="O790" i="8"/>
  <c r="K790" i="8"/>
  <c r="I790" i="8" s="1"/>
  <c r="Y716" i="8"/>
  <c r="X716" i="8"/>
  <c r="AE716" i="8" s="1"/>
  <c r="W716" i="8"/>
  <c r="Y715" i="8"/>
  <c r="X715" i="8"/>
  <c r="AE715" i="8" s="1"/>
  <c r="W715" i="8"/>
  <c r="Y714" i="8"/>
  <c r="X714" i="8"/>
  <c r="AE714" i="8" s="1"/>
  <c r="W714" i="8"/>
  <c r="Y713" i="8"/>
  <c r="X713" i="8"/>
  <c r="AE713" i="8" s="1"/>
  <c r="W713" i="8"/>
  <c r="Y711" i="8"/>
  <c r="X711" i="8"/>
  <c r="AE711" i="8" s="1"/>
  <c r="W711" i="8"/>
  <c r="O711" i="8"/>
  <c r="K711" i="8"/>
  <c r="I711" i="8" s="1"/>
  <c r="Y710" i="8"/>
  <c r="X710" i="8"/>
  <c r="AE710" i="8" s="1"/>
  <c r="W710" i="8"/>
  <c r="Y709" i="8"/>
  <c r="X709" i="8"/>
  <c r="AE709" i="8" s="1"/>
  <c r="W709" i="8"/>
  <c r="Y708" i="8"/>
  <c r="X708" i="8"/>
  <c r="AE708" i="8" s="1"/>
  <c r="W708" i="8"/>
  <c r="Y707" i="8"/>
  <c r="X707" i="8"/>
  <c r="AE707" i="8" s="1"/>
  <c r="W707" i="8"/>
  <c r="Y705" i="8"/>
  <c r="X705" i="8"/>
  <c r="AE706" i="8" s="1"/>
  <c r="W705" i="8"/>
  <c r="O705" i="8"/>
  <c r="K705" i="8"/>
  <c r="I705" i="8" s="1"/>
  <c r="V709" i="8" s="1"/>
  <c r="Y704" i="8"/>
  <c r="X704" i="8"/>
  <c r="AE704" i="8" s="1"/>
  <c r="W704" i="8"/>
  <c r="Y703" i="8"/>
  <c r="X703" i="8"/>
  <c r="AE703" i="8" s="1"/>
  <c r="W703" i="8"/>
  <c r="Y702" i="8"/>
  <c r="X702" i="8"/>
  <c r="AE702" i="8" s="1"/>
  <c r="W702" i="8"/>
  <c r="Y701" i="8"/>
  <c r="X701" i="8"/>
  <c r="AE701" i="8" s="1"/>
  <c r="W701" i="8"/>
  <c r="Y699" i="8"/>
  <c r="X699" i="8"/>
  <c r="AE699" i="8" s="1"/>
  <c r="W699" i="8"/>
  <c r="O699" i="8"/>
  <c r="K699" i="8"/>
  <c r="I699" i="8" s="1"/>
  <c r="Y643" i="8"/>
  <c r="X643" i="8"/>
  <c r="AE643" i="8" s="1"/>
  <c r="W643" i="8"/>
  <c r="Y642" i="8"/>
  <c r="X642" i="8"/>
  <c r="AE642" i="8" s="1"/>
  <c r="W642" i="8"/>
  <c r="Y641" i="8"/>
  <c r="X641" i="8"/>
  <c r="AE641" i="8" s="1"/>
  <c r="W641" i="8"/>
  <c r="Y640" i="8"/>
  <c r="X640" i="8"/>
  <c r="AE640" i="8" s="1"/>
  <c r="W640" i="8"/>
  <c r="Y638" i="8"/>
  <c r="X638" i="8"/>
  <c r="AE639" i="8" s="1"/>
  <c r="W638" i="8"/>
  <c r="O638" i="8"/>
  <c r="K638" i="8"/>
  <c r="I638" i="8" s="1"/>
  <c r="U641" i="8" s="1"/>
  <c r="Y637" i="8"/>
  <c r="X637" i="8"/>
  <c r="AE637" i="8" s="1"/>
  <c r="W637" i="8"/>
  <c r="Y636" i="8"/>
  <c r="X636" i="8"/>
  <c r="AE636" i="8" s="1"/>
  <c r="W636" i="8"/>
  <c r="Y635" i="8"/>
  <c r="X635" i="8"/>
  <c r="AE635" i="8" s="1"/>
  <c r="W635" i="8"/>
  <c r="Y634" i="8"/>
  <c r="X634" i="8"/>
  <c r="AE634" i="8" s="1"/>
  <c r="W634" i="8"/>
  <c r="Y632" i="8"/>
  <c r="X632" i="8"/>
  <c r="AE633" i="8" s="1"/>
  <c r="W632" i="8"/>
  <c r="O632" i="8"/>
  <c r="K632" i="8"/>
  <c r="I632" i="8" s="1"/>
  <c r="Y631" i="8"/>
  <c r="X631" i="8"/>
  <c r="AE631" i="8" s="1"/>
  <c r="W631" i="8"/>
  <c r="Y630" i="8"/>
  <c r="X630" i="8"/>
  <c r="AE630" i="8" s="1"/>
  <c r="W630" i="8"/>
  <c r="Y629" i="8"/>
  <c r="X629" i="8"/>
  <c r="AE629" i="8" s="1"/>
  <c r="W629" i="8"/>
  <c r="Y628" i="8"/>
  <c r="X628" i="8"/>
  <c r="AE628" i="8" s="1"/>
  <c r="W628" i="8"/>
  <c r="Y626" i="8"/>
  <c r="X626" i="8"/>
  <c r="AE627" i="8" s="1"/>
  <c r="W626" i="8"/>
  <c r="O626" i="8"/>
  <c r="K626" i="8"/>
  <c r="I626" i="8" s="1"/>
  <c r="Y552" i="8"/>
  <c r="X552" i="8"/>
  <c r="AE552" i="8" s="1"/>
  <c r="W552" i="8"/>
  <c r="Y551" i="8"/>
  <c r="X551" i="8"/>
  <c r="AE551" i="8" s="1"/>
  <c r="W551" i="8"/>
  <c r="Y550" i="8"/>
  <c r="X550" i="8"/>
  <c r="AE550" i="8" s="1"/>
  <c r="W550" i="8"/>
  <c r="Y549" i="8"/>
  <c r="X549" i="8"/>
  <c r="AE549" i="8" s="1"/>
  <c r="W549" i="8"/>
  <c r="Y547" i="8"/>
  <c r="X547" i="8"/>
  <c r="AE547" i="8" s="1"/>
  <c r="W547" i="8"/>
  <c r="O547" i="8"/>
  <c r="K547" i="8"/>
  <c r="I547" i="8" s="1"/>
  <c r="U550" i="8" s="1"/>
  <c r="Y546" i="8"/>
  <c r="X546" i="8"/>
  <c r="AE546" i="8" s="1"/>
  <c r="W546" i="8"/>
  <c r="Y545" i="8"/>
  <c r="X545" i="8"/>
  <c r="AE545" i="8" s="1"/>
  <c r="W545" i="8"/>
  <c r="Y544" i="8"/>
  <c r="X544" i="8"/>
  <c r="AE544" i="8" s="1"/>
  <c r="W544" i="8"/>
  <c r="Y543" i="8"/>
  <c r="X543" i="8"/>
  <c r="AE543" i="8" s="1"/>
  <c r="W543" i="8"/>
  <c r="Y541" i="8"/>
  <c r="X541" i="8"/>
  <c r="AE542" i="8" s="1"/>
  <c r="W541" i="8"/>
  <c r="O541" i="8"/>
  <c r="K541" i="8"/>
  <c r="I541" i="8" s="1"/>
  <c r="Y540" i="8"/>
  <c r="X540" i="8"/>
  <c r="AE540" i="8" s="1"/>
  <c r="W540" i="8"/>
  <c r="Y539" i="8"/>
  <c r="X539" i="8"/>
  <c r="AE539" i="8" s="1"/>
  <c r="W539" i="8"/>
  <c r="Y538" i="8"/>
  <c r="X538" i="8"/>
  <c r="AE538" i="8" s="1"/>
  <c r="W538" i="8"/>
  <c r="Y537" i="8"/>
  <c r="X537" i="8"/>
  <c r="AE537" i="8" s="1"/>
  <c r="W537" i="8"/>
  <c r="Y535" i="8"/>
  <c r="X535" i="8"/>
  <c r="AE535" i="8" s="1"/>
  <c r="W535" i="8"/>
  <c r="O535" i="8"/>
  <c r="K535" i="8"/>
  <c r="I535" i="8" s="1"/>
  <c r="Y479" i="8"/>
  <c r="X479" i="8"/>
  <c r="AE479" i="8" s="1"/>
  <c r="W479" i="8"/>
  <c r="Y478" i="8"/>
  <c r="X478" i="8"/>
  <c r="AE478" i="8" s="1"/>
  <c r="W478" i="8"/>
  <c r="Y477" i="8"/>
  <c r="X477" i="8"/>
  <c r="AE477" i="8" s="1"/>
  <c r="W477" i="8"/>
  <c r="Y476" i="8"/>
  <c r="X476" i="8"/>
  <c r="AE476" i="8" s="1"/>
  <c r="W476" i="8"/>
  <c r="Y474" i="8"/>
  <c r="X474" i="8"/>
  <c r="AE474" i="8" s="1"/>
  <c r="W474" i="8"/>
  <c r="O474" i="8"/>
  <c r="K474" i="8"/>
  <c r="I474" i="8" s="1"/>
  <c r="Y473" i="8"/>
  <c r="X473" i="8"/>
  <c r="AE473" i="8" s="1"/>
  <c r="W473" i="8"/>
  <c r="Y472" i="8"/>
  <c r="X472" i="8"/>
  <c r="AE472" i="8" s="1"/>
  <c r="W472" i="8"/>
  <c r="Y471" i="8"/>
  <c r="X471" i="8"/>
  <c r="AE471" i="8" s="1"/>
  <c r="W471" i="8"/>
  <c r="Y470" i="8"/>
  <c r="X470" i="8"/>
  <c r="AE470" i="8" s="1"/>
  <c r="W470" i="8"/>
  <c r="Y468" i="8"/>
  <c r="X468" i="8"/>
  <c r="AE469" i="8" s="1"/>
  <c r="W468" i="8"/>
  <c r="O468" i="8"/>
  <c r="K468" i="8"/>
  <c r="I468" i="8" s="1"/>
  <c r="Y467" i="8"/>
  <c r="X467" i="8"/>
  <c r="AE467" i="8" s="1"/>
  <c r="W467" i="8"/>
  <c r="Y466" i="8"/>
  <c r="X466" i="8"/>
  <c r="AE466" i="8" s="1"/>
  <c r="W466" i="8"/>
  <c r="Y465" i="8"/>
  <c r="X465" i="8"/>
  <c r="AE465" i="8" s="1"/>
  <c r="W465" i="8"/>
  <c r="Y464" i="8"/>
  <c r="X464" i="8"/>
  <c r="AE464" i="8" s="1"/>
  <c r="W464" i="8"/>
  <c r="Y462" i="8"/>
  <c r="X462" i="8"/>
  <c r="AE462" i="8" s="1"/>
  <c r="W462" i="8"/>
  <c r="O462" i="8"/>
  <c r="K462" i="8"/>
  <c r="I462" i="8" s="1"/>
  <c r="Y388" i="8"/>
  <c r="X388" i="8"/>
  <c r="AE388" i="8" s="1"/>
  <c r="W388" i="8"/>
  <c r="Y387" i="8"/>
  <c r="X387" i="8"/>
  <c r="AE387" i="8" s="1"/>
  <c r="W387" i="8"/>
  <c r="Y386" i="8"/>
  <c r="X386" i="8"/>
  <c r="AE386" i="8" s="1"/>
  <c r="W386" i="8"/>
  <c r="Y385" i="8"/>
  <c r="X385" i="8"/>
  <c r="AE385" i="8" s="1"/>
  <c r="W385" i="8"/>
  <c r="Y383" i="8"/>
  <c r="X383" i="8"/>
  <c r="AE383" i="8" s="1"/>
  <c r="W383" i="8"/>
  <c r="O383" i="8"/>
  <c r="K383" i="8"/>
  <c r="I383" i="8" s="1"/>
  <c r="Y382" i="8"/>
  <c r="X382" i="8"/>
  <c r="AE382" i="8" s="1"/>
  <c r="W382" i="8"/>
  <c r="Y381" i="8"/>
  <c r="X381" i="8"/>
  <c r="AE381" i="8" s="1"/>
  <c r="W381" i="8"/>
  <c r="Y380" i="8"/>
  <c r="X380" i="8"/>
  <c r="AE380" i="8" s="1"/>
  <c r="W380" i="8"/>
  <c r="Y379" i="8"/>
  <c r="X379" i="8"/>
  <c r="AE379" i="8" s="1"/>
  <c r="W379" i="8"/>
  <c r="Y377" i="8"/>
  <c r="X377" i="8"/>
  <c r="AE378" i="8" s="1"/>
  <c r="W377" i="8"/>
  <c r="O377" i="8"/>
  <c r="K377" i="8"/>
  <c r="I377" i="8" s="1"/>
  <c r="Y376" i="8"/>
  <c r="X376" i="8"/>
  <c r="AE376" i="8" s="1"/>
  <c r="W376" i="8"/>
  <c r="Y375" i="8"/>
  <c r="X375" i="8"/>
  <c r="AE375" i="8" s="1"/>
  <c r="W375" i="8"/>
  <c r="Y374" i="8"/>
  <c r="X374" i="8"/>
  <c r="AE374" i="8" s="1"/>
  <c r="W374" i="8"/>
  <c r="Y373" i="8"/>
  <c r="X373" i="8"/>
  <c r="AE373" i="8" s="1"/>
  <c r="W373" i="8"/>
  <c r="Y371" i="8"/>
  <c r="X371" i="8"/>
  <c r="AE371" i="8" s="1"/>
  <c r="W371" i="8"/>
  <c r="O371" i="8"/>
  <c r="K371" i="8"/>
  <c r="I371" i="8" s="1"/>
  <c r="U374" i="8" s="1"/>
  <c r="Y285" i="8"/>
  <c r="X285" i="8"/>
  <c r="AE285" i="8" s="1"/>
  <c r="W285" i="8"/>
  <c r="Y284" i="8"/>
  <c r="X284" i="8"/>
  <c r="AE284" i="8" s="1"/>
  <c r="W284" i="8"/>
  <c r="Y283" i="8"/>
  <c r="X283" i="8"/>
  <c r="AE283" i="8" s="1"/>
  <c r="W283" i="8"/>
  <c r="Y282" i="8"/>
  <c r="X282" i="8"/>
  <c r="AE282" i="8" s="1"/>
  <c r="W282" i="8"/>
  <c r="Y280" i="8"/>
  <c r="X280" i="8"/>
  <c r="AE281" i="8" s="1"/>
  <c r="W280" i="8"/>
  <c r="O280" i="8"/>
  <c r="K280" i="8"/>
  <c r="I280" i="8" s="1"/>
  <c r="U283" i="8" s="1"/>
  <c r="Y279" i="8"/>
  <c r="X279" i="8"/>
  <c r="AE279" i="8" s="1"/>
  <c r="W279" i="8"/>
  <c r="Y278" i="8"/>
  <c r="X278" i="8"/>
  <c r="AE278" i="8" s="1"/>
  <c r="W278" i="8"/>
  <c r="Y277" i="8"/>
  <c r="X277" i="8"/>
  <c r="AE277" i="8" s="1"/>
  <c r="W277" i="8"/>
  <c r="Y276" i="8"/>
  <c r="X276" i="8"/>
  <c r="AE276" i="8" s="1"/>
  <c r="W276" i="8"/>
  <c r="Y274" i="8"/>
  <c r="X274" i="8"/>
  <c r="AE275" i="8" s="1"/>
  <c r="W274" i="8"/>
  <c r="O274" i="8"/>
  <c r="K274" i="8"/>
  <c r="I274" i="8" s="1"/>
  <c r="V278" i="8" s="1"/>
  <c r="Y273" i="8"/>
  <c r="X273" i="8"/>
  <c r="AE273" i="8" s="1"/>
  <c r="W273" i="8"/>
  <c r="Y272" i="8"/>
  <c r="X272" i="8"/>
  <c r="AE272" i="8" s="1"/>
  <c r="W272" i="8"/>
  <c r="Y271" i="8"/>
  <c r="X271" i="8"/>
  <c r="AE271" i="8" s="1"/>
  <c r="W271" i="8"/>
  <c r="Y270" i="8"/>
  <c r="X270" i="8"/>
  <c r="AE270" i="8" s="1"/>
  <c r="W270" i="8"/>
  <c r="Y268" i="8"/>
  <c r="X268" i="8"/>
  <c r="AE269" i="8" s="1"/>
  <c r="W268" i="8"/>
  <c r="O268" i="8"/>
  <c r="K268" i="8"/>
  <c r="I268" i="8" s="1"/>
  <c r="Y170" i="8"/>
  <c r="X170" i="8"/>
  <c r="AE170" i="8" s="1"/>
  <c r="W170" i="8"/>
  <c r="Y169" i="8"/>
  <c r="X169" i="8"/>
  <c r="AE169" i="8" s="1"/>
  <c r="W169" i="8"/>
  <c r="Y168" i="8"/>
  <c r="X168" i="8"/>
  <c r="AE168" i="8" s="1"/>
  <c r="W168" i="8"/>
  <c r="Y167" i="8"/>
  <c r="X167" i="8"/>
  <c r="AE167" i="8" s="1"/>
  <c r="W167" i="8"/>
  <c r="Y165" i="8"/>
  <c r="X165" i="8"/>
  <c r="AE166" i="8" s="1"/>
  <c r="W165" i="8"/>
  <c r="O165" i="8"/>
  <c r="K165" i="8"/>
  <c r="I165" i="8" s="1"/>
  <c r="Y164" i="8"/>
  <c r="X164" i="8"/>
  <c r="AE164" i="8" s="1"/>
  <c r="W164" i="8"/>
  <c r="Y163" i="8"/>
  <c r="X163" i="8"/>
  <c r="AE163" i="8" s="1"/>
  <c r="W163" i="8"/>
  <c r="Y162" i="8"/>
  <c r="X162" i="8"/>
  <c r="AE162" i="8" s="1"/>
  <c r="W162" i="8"/>
  <c r="Y161" i="8"/>
  <c r="X161" i="8"/>
  <c r="AE161" i="8" s="1"/>
  <c r="W161" i="8"/>
  <c r="Y159" i="8"/>
  <c r="X159" i="8"/>
  <c r="AE160" i="8" s="1"/>
  <c r="W159" i="8"/>
  <c r="O159" i="8"/>
  <c r="K159" i="8"/>
  <c r="I159" i="8" s="1"/>
  <c r="Y158" i="8"/>
  <c r="X158" i="8"/>
  <c r="AE158" i="8" s="1"/>
  <c r="W158" i="8"/>
  <c r="Y157" i="8"/>
  <c r="X157" i="8"/>
  <c r="AE157" i="8" s="1"/>
  <c r="W157" i="8"/>
  <c r="Y156" i="8"/>
  <c r="X156" i="8"/>
  <c r="AE156" i="8" s="1"/>
  <c r="W156" i="8"/>
  <c r="Y155" i="8"/>
  <c r="X155" i="8"/>
  <c r="AE155" i="8" s="1"/>
  <c r="W155" i="8"/>
  <c r="Y153" i="8"/>
  <c r="X153" i="8"/>
  <c r="AE154" i="8" s="1"/>
  <c r="W153" i="8"/>
  <c r="O153" i="8"/>
  <c r="K153" i="8"/>
  <c r="I153" i="8" s="1"/>
  <c r="Y151" i="8"/>
  <c r="X151" i="8"/>
  <c r="W151" i="8"/>
  <c r="V151" i="8"/>
  <c r="AB151" i="8" s="1"/>
  <c r="U151" i="8"/>
  <c r="AA151" i="8" s="1"/>
  <c r="T151" i="8"/>
  <c r="Z151" i="8" s="1"/>
  <c r="Y150" i="8"/>
  <c r="X150" i="8"/>
  <c r="W150" i="8"/>
  <c r="V150" i="8"/>
  <c r="AB150" i="8" s="1"/>
  <c r="U150" i="8"/>
  <c r="AA150" i="8" s="1"/>
  <c r="T150" i="8"/>
  <c r="Z150" i="8" s="1"/>
  <c r="Y149" i="8"/>
  <c r="X149" i="8"/>
  <c r="W149" i="8"/>
  <c r="V149" i="8"/>
  <c r="AB149" i="8" s="1"/>
  <c r="U149" i="8"/>
  <c r="AA149" i="8" s="1"/>
  <c r="T149" i="8"/>
  <c r="Z149" i="8" s="1"/>
  <c r="Y148" i="8"/>
  <c r="X148" i="8"/>
  <c r="W148" i="8"/>
  <c r="V148" i="8"/>
  <c r="AB148" i="8" s="1"/>
  <c r="U148" i="8"/>
  <c r="AA148" i="8" s="1"/>
  <c r="T148" i="8"/>
  <c r="Z148" i="8" s="1"/>
  <c r="Y146" i="8"/>
  <c r="X146" i="8"/>
  <c r="W146" i="8"/>
  <c r="V146" i="8"/>
  <c r="AB146" i="8" s="1"/>
  <c r="U146" i="8"/>
  <c r="AA146" i="8" s="1"/>
  <c r="T146" i="8"/>
  <c r="Z146" i="8" s="1"/>
  <c r="Y67" i="8"/>
  <c r="X67" i="8"/>
  <c r="AE67" i="8" s="1"/>
  <c r="W67" i="8"/>
  <c r="Y66" i="8"/>
  <c r="X66" i="8"/>
  <c r="AE66" i="8" s="1"/>
  <c r="W66" i="8"/>
  <c r="Y65" i="8"/>
  <c r="X65" i="8"/>
  <c r="AE65" i="8" s="1"/>
  <c r="W65" i="8"/>
  <c r="Y64" i="8"/>
  <c r="X64" i="8"/>
  <c r="AE64" i="8" s="1"/>
  <c r="W64" i="8"/>
  <c r="Y62" i="8"/>
  <c r="X62" i="8"/>
  <c r="AE62" i="8" s="1"/>
  <c r="W62" i="8"/>
  <c r="O62" i="8"/>
  <c r="K62" i="8"/>
  <c r="I62" i="8" s="1"/>
  <c r="U65" i="8" s="1"/>
  <c r="Y61" i="8"/>
  <c r="X61" i="8"/>
  <c r="AE61" i="8" s="1"/>
  <c r="W61" i="8"/>
  <c r="Y60" i="8"/>
  <c r="X60" i="8"/>
  <c r="AE60" i="8" s="1"/>
  <c r="W60" i="8"/>
  <c r="Y59" i="8"/>
  <c r="X59" i="8"/>
  <c r="AE59" i="8" s="1"/>
  <c r="W59" i="8"/>
  <c r="Y58" i="8"/>
  <c r="X58" i="8"/>
  <c r="AE58" i="8" s="1"/>
  <c r="W58" i="8"/>
  <c r="Y56" i="8"/>
  <c r="X56" i="8"/>
  <c r="AE57" i="8" s="1"/>
  <c r="W56" i="8"/>
  <c r="O56" i="8"/>
  <c r="K56" i="8"/>
  <c r="I56" i="8" s="1"/>
  <c r="Y55" i="8"/>
  <c r="X55" i="8"/>
  <c r="AE55" i="8" s="1"/>
  <c r="W55" i="8"/>
  <c r="Y54" i="8"/>
  <c r="X54" i="8"/>
  <c r="AE54" i="8" s="1"/>
  <c r="W54" i="8"/>
  <c r="Y53" i="8"/>
  <c r="X53" i="8"/>
  <c r="AE53" i="8" s="1"/>
  <c r="W53" i="8"/>
  <c r="Y52" i="8"/>
  <c r="X52" i="8"/>
  <c r="AE52" i="8" s="1"/>
  <c r="W52" i="8"/>
  <c r="Y50" i="8"/>
  <c r="X50" i="8"/>
  <c r="AE50" i="8" s="1"/>
  <c r="W50" i="8"/>
  <c r="O50" i="8"/>
  <c r="K50" i="8"/>
  <c r="I50" i="8" s="1"/>
  <c r="U53" i="8" s="1"/>
  <c r="AF1199" i="8" l="1"/>
  <c r="AE1144" i="8"/>
  <c r="AF139" i="23" s="1"/>
  <c r="AF156" i="23" s="1"/>
  <c r="AE1147" i="8"/>
  <c r="AF142" i="23" s="1"/>
  <c r="AF158" i="23" s="1"/>
  <c r="AE1207" i="8"/>
  <c r="AH141" i="23" s="1"/>
  <c r="AH155" i="23" s="1"/>
  <c r="AE1086" i="8"/>
  <c r="AD142" i="23" s="1"/>
  <c r="AE788" i="8"/>
  <c r="V142" i="23" s="1"/>
  <c r="AE860" i="8"/>
  <c r="X141" i="23" s="1"/>
  <c r="X155" i="23" s="1"/>
  <c r="AE920" i="8"/>
  <c r="Z140" i="23" s="1"/>
  <c r="Z164" i="23" s="1"/>
  <c r="AE1012" i="8"/>
  <c r="AB141" i="23" s="1"/>
  <c r="AB155" i="23" s="1"/>
  <c r="AE1084" i="8"/>
  <c r="AD140" i="23" s="1"/>
  <c r="AD164" i="23" s="1"/>
  <c r="AE1206" i="8"/>
  <c r="AH140" i="23" s="1"/>
  <c r="AH164" i="23" s="1"/>
  <c r="AE1146" i="8"/>
  <c r="AF141" i="23" s="1"/>
  <c r="AF155" i="23" s="1"/>
  <c r="AE1010" i="8"/>
  <c r="AB139" i="23" s="1"/>
  <c r="AB156" i="23" s="1"/>
  <c r="AE1205" i="8"/>
  <c r="AH139" i="23" s="1"/>
  <c r="AH156" i="23" s="1"/>
  <c r="AE1208" i="8"/>
  <c r="AH142" i="23" s="1"/>
  <c r="AH158" i="23" s="1"/>
  <c r="AE861" i="8"/>
  <c r="X142" i="23" s="1"/>
  <c r="AE921" i="8"/>
  <c r="Z141" i="23" s="1"/>
  <c r="Z155" i="23" s="1"/>
  <c r="AE1011" i="8"/>
  <c r="AB140" i="23" s="1"/>
  <c r="AB164" i="23" s="1"/>
  <c r="AE1083" i="8"/>
  <c r="AD139" i="23" s="1"/>
  <c r="AD156" i="23" s="1"/>
  <c r="AE1143" i="8"/>
  <c r="AF138" i="23" s="1"/>
  <c r="AF154" i="23" s="1"/>
  <c r="AF1202" i="8"/>
  <c r="AF1198" i="8"/>
  <c r="AF1197" i="8"/>
  <c r="AF1201" i="8"/>
  <c r="AF1200" i="8"/>
  <c r="AF1079" i="8"/>
  <c r="AF1140" i="8"/>
  <c r="AE1013" i="8"/>
  <c r="AB142" i="23" s="1"/>
  <c r="AE1085" i="8"/>
  <c r="AD141" i="23" s="1"/>
  <c r="AD155" i="23" s="1"/>
  <c r="AE1145" i="8"/>
  <c r="AF140" i="23" s="1"/>
  <c r="AF164" i="23" s="1"/>
  <c r="AE624" i="8"/>
  <c r="R142" i="23" s="1"/>
  <c r="AE696" i="8"/>
  <c r="T141" i="23" s="1"/>
  <c r="T155" i="23" s="1"/>
  <c r="AE786" i="8"/>
  <c r="V140" i="23" s="1"/>
  <c r="V164" i="23" s="1"/>
  <c r="AE858" i="8"/>
  <c r="X139" i="23" s="1"/>
  <c r="X156" i="23" s="1"/>
  <c r="AE918" i="8"/>
  <c r="Z138" i="23" s="1"/>
  <c r="Z154" i="23" s="1"/>
  <c r="AF1141" i="8"/>
  <c r="AF1138" i="8"/>
  <c r="AF1136" i="8"/>
  <c r="AF1137" i="8"/>
  <c r="AF1139" i="8"/>
  <c r="AF1080" i="8"/>
  <c r="AF1075" i="8"/>
  <c r="AF1076" i="8"/>
  <c r="AF1077" i="8"/>
  <c r="AF1078" i="8"/>
  <c r="AF1007" i="8"/>
  <c r="AF1005" i="8"/>
  <c r="AF1004" i="8"/>
  <c r="AF1006" i="8"/>
  <c r="AF1003" i="8"/>
  <c r="AF1002" i="8"/>
  <c r="AE922" i="8"/>
  <c r="Z142" i="23" s="1"/>
  <c r="Z158" i="23" s="1"/>
  <c r="AF855" i="8"/>
  <c r="AE919" i="8"/>
  <c r="Z139" i="23" s="1"/>
  <c r="Z156" i="23" s="1"/>
  <c r="AE533" i="8"/>
  <c r="P142" i="23" s="1"/>
  <c r="P158" i="23" s="1"/>
  <c r="AE623" i="8"/>
  <c r="R141" i="23" s="1"/>
  <c r="R155" i="23" s="1"/>
  <c r="AE695" i="8"/>
  <c r="T140" i="23" s="1"/>
  <c r="T164" i="23" s="1"/>
  <c r="AE785" i="8"/>
  <c r="V139" i="23" s="1"/>
  <c r="V156" i="23" s="1"/>
  <c r="AE859" i="8"/>
  <c r="X140" i="23" s="1"/>
  <c r="X164" i="23" s="1"/>
  <c r="AF780" i="8"/>
  <c r="AF916" i="8"/>
  <c r="AF912" i="8"/>
  <c r="AF911" i="8"/>
  <c r="AF915" i="8"/>
  <c r="AF913" i="8"/>
  <c r="AF914" i="8"/>
  <c r="AF853" i="8"/>
  <c r="AF782" i="8"/>
  <c r="AE621" i="8"/>
  <c r="R139" i="23" s="1"/>
  <c r="R156" i="23" s="1"/>
  <c r="AF852" i="8"/>
  <c r="AF854" i="8"/>
  <c r="AF851" i="8"/>
  <c r="AF850" i="8"/>
  <c r="AF778" i="8"/>
  <c r="AE787" i="8"/>
  <c r="V141" i="23" s="1"/>
  <c r="V155" i="23" s="1"/>
  <c r="AF781" i="8"/>
  <c r="AF779" i="8"/>
  <c r="AF777" i="8"/>
  <c r="AE697" i="8"/>
  <c r="T142" i="23" s="1"/>
  <c r="T158" i="23" s="1"/>
  <c r="AE693" i="8"/>
  <c r="T138" i="23" s="1"/>
  <c r="T154" i="23" s="1"/>
  <c r="AE622" i="8"/>
  <c r="R140" i="23" s="1"/>
  <c r="R164" i="23" s="1"/>
  <c r="AE694" i="8"/>
  <c r="T139" i="23" s="1"/>
  <c r="T156" i="23" s="1"/>
  <c r="AF691" i="8"/>
  <c r="AF689" i="8"/>
  <c r="AF688" i="8"/>
  <c r="AF690" i="8"/>
  <c r="AF687" i="8"/>
  <c r="AF686" i="8"/>
  <c r="AE266" i="8"/>
  <c r="H142" i="23" s="1"/>
  <c r="H158" i="23" s="1"/>
  <c r="AE368" i="8"/>
  <c r="J141" i="23" s="1"/>
  <c r="J155" i="23" s="1"/>
  <c r="AE458" i="8"/>
  <c r="N140" i="23" s="1"/>
  <c r="N164" i="23" s="1"/>
  <c r="AE530" i="8"/>
  <c r="P139" i="23" s="1"/>
  <c r="P156" i="23" s="1"/>
  <c r="AE531" i="8"/>
  <c r="P140" i="23" s="1"/>
  <c r="P164" i="23" s="1"/>
  <c r="AF523" i="8"/>
  <c r="AF618" i="8"/>
  <c r="AF614" i="8"/>
  <c r="AF613" i="8"/>
  <c r="AF617" i="8"/>
  <c r="AF615" i="8"/>
  <c r="AF616" i="8"/>
  <c r="AE532" i="8"/>
  <c r="P141" i="23" s="1"/>
  <c r="P155" i="23" s="1"/>
  <c r="AE149" i="8"/>
  <c r="F140" i="23" s="1"/>
  <c r="F164" i="23" s="1"/>
  <c r="AF522" i="8"/>
  <c r="AE265" i="8"/>
  <c r="H141" i="23" s="1"/>
  <c r="H155" i="23" s="1"/>
  <c r="AE367" i="8"/>
  <c r="J140" i="23" s="1"/>
  <c r="J164" i="23" s="1"/>
  <c r="AE457" i="8"/>
  <c r="N139" i="23" s="1"/>
  <c r="N156" i="23" s="1"/>
  <c r="AE460" i="8"/>
  <c r="N142" i="23" s="1"/>
  <c r="AE263" i="8"/>
  <c r="H139" i="23" s="1"/>
  <c r="H156" i="23" s="1"/>
  <c r="AE459" i="8"/>
  <c r="N141" i="23" s="1"/>
  <c r="N155" i="23" s="1"/>
  <c r="AF363" i="8"/>
  <c r="AF525" i="8"/>
  <c r="AF527" i="8"/>
  <c r="AF524" i="8"/>
  <c r="AF526" i="8"/>
  <c r="AE262" i="8"/>
  <c r="H138" i="23" s="1"/>
  <c r="H154" i="23" s="1"/>
  <c r="AE369" i="8"/>
  <c r="J142" i="23" s="1"/>
  <c r="AE148" i="8"/>
  <c r="F139" i="23" s="1"/>
  <c r="F156" i="23" s="1"/>
  <c r="AE365" i="8"/>
  <c r="J138" i="23" s="1"/>
  <c r="J154" i="23" s="1"/>
  <c r="AF259" i="8"/>
  <c r="AE264" i="8"/>
  <c r="H140" i="23" s="1"/>
  <c r="H164" i="23" s="1"/>
  <c r="AE366" i="8"/>
  <c r="J139" i="23" s="1"/>
  <c r="J156" i="23" s="1"/>
  <c r="AF454" i="8"/>
  <c r="AF451" i="8"/>
  <c r="AF452" i="8"/>
  <c r="AF453" i="8"/>
  <c r="AF450" i="8"/>
  <c r="AF449" i="8"/>
  <c r="AF612" i="8"/>
  <c r="AF362" i="8"/>
  <c r="AF359" i="8"/>
  <c r="AF358" i="8"/>
  <c r="AF360" i="8"/>
  <c r="AF361" i="8"/>
  <c r="AF446" i="8"/>
  <c r="AF1001" i="8"/>
  <c r="AF258" i="8"/>
  <c r="AF349" i="8"/>
  <c r="AF355" i="8"/>
  <c r="AF769" i="8"/>
  <c r="AF260" i="8"/>
  <c r="AF255" i="8"/>
  <c r="AF256" i="8"/>
  <c r="AF257" i="8"/>
  <c r="AE151" i="8"/>
  <c r="F142" i="23" s="1"/>
  <c r="AF775" i="8"/>
  <c r="AF448" i="8"/>
  <c r="AE150" i="8"/>
  <c r="F141" i="23" s="1"/>
  <c r="F155" i="23" s="1"/>
  <c r="AF611" i="8"/>
  <c r="AF999" i="8"/>
  <c r="AF143" i="8"/>
  <c r="AF142" i="8"/>
  <c r="AF144" i="8"/>
  <c r="AF141" i="8"/>
  <c r="AF140" i="8"/>
  <c r="AF145" i="8"/>
  <c r="AF998" i="8"/>
  <c r="AF997" i="8"/>
  <c r="AF996" i="8"/>
  <c r="AF1000" i="8"/>
  <c r="AF776" i="8"/>
  <c r="AF773" i="8"/>
  <c r="AF774" i="8"/>
  <c r="AF772" i="8"/>
  <c r="AF771" i="8"/>
  <c r="AF254" i="8"/>
  <c r="AF609" i="8"/>
  <c r="AF610" i="8"/>
  <c r="AF607" i="8"/>
  <c r="AF608" i="8"/>
  <c r="AF445" i="8"/>
  <c r="AF444" i="8"/>
  <c r="AF443" i="8"/>
  <c r="AF447" i="8"/>
  <c r="AF357" i="8"/>
  <c r="AF354" i="8"/>
  <c r="AF352" i="8"/>
  <c r="AF353" i="8"/>
  <c r="AF356" i="8"/>
  <c r="AF126" i="8"/>
  <c r="AF252" i="8"/>
  <c r="AF251" i="8"/>
  <c r="AF253" i="8"/>
  <c r="AF249" i="8"/>
  <c r="AF250" i="8"/>
  <c r="AF602" i="8"/>
  <c r="AF137" i="8"/>
  <c r="AF139" i="8"/>
  <c r="AF136" i="8"/>
  <c r="AF138" i="8"/>
  <c r="AF134" i="8"/>
  <c r="AF135" i="8"/>
  <c r="AF348" i="8"/>
  <c r="AF343" i="8"/>
  <c r="AF768" i="8"/>
  <c r="AF350" i="8"/>
  <c r="AF347" i="8"/>
  <c r="AF346" i="8"/>
  <c r="AF351" i="8"/>
  <c r="AF604" i="8"/>
  <c r="AF770" i="8"/>
  <c r="AF240" i="8"/>
  <c r="AF237" i="8"/>
  <c r="AF248" i="8"/>
  <c r="AF246" i="8"/>
  <c r="AF245" i="8"/>
  <c r="AF247" i="8"/>
  <c r="AF244" i="8"/>
  <c r="AF243" i="8"/>
  <c r="AF131" i="8"/>
  <c r="AF132" i="8"/>
  <c r="AF133" i="8"/>
  <c r="AF130" i="8"/>
  <c r="AF129" i="8"/>
  <c r="AF128" i="8"/>
  <c r="AF767" i="8"/>
  <c r="AF122" i="8"/>
  <c r="AF123" i="8"/>
  <c r="AF993" i="8"/>
  <c r="AF241" i="8"/>
  <c r="AF766" i="8"/>
  <c r="AF242" i="8"/>
  <c r="AF995" i="8"/>
  <c r="AF994" i="8"/>
  <c r="AF992" i="8"/>
  <c r="AF991" i="8"/>
  <c r="AF990" i="8"/>
  <c r="AF765" i="8"/>
  <c r="AF125" i="8"/>
  <c r="AF606" i="8"/>
  <c r="AF238" i="8"/>
  <c r="AF342" i="8"/>
  <c r="AF239" i="8"/>
  <c r="AF605" i="8"/>
  <c r="AF601" i="8"/>
  <c r="AF603" i="8"/>
  <c r="AF440" i="8"/>
  <c r="AF441" i="8"/>
  <c r="AF442" i="8"/>
  <c r="AF439" i="8"/>
  <c r="AF437" i="8"/>
  <c r="AF438" i="8"/>
  <c r="AF345" i="8"/>
  <c r="AF340" i="8"/>
  <c r="AF341" i="8"/>
  <c r="AF344" i="8"/>
  <c r="AF124" i="8"/>
  <c r="AF127" i="8"/>
  <c r="AF849" i="8"/>
  <c r="AF1070" i="8"/>
  <c r="AF1074" i="8"/>
  <c r="AF1069" i="8"/>
  <c r="AF1072" i="8"/>
  <c r="AF1071" i="8"/>
  <c r="AF1073" i="8"/>
  <c r="AF987" i="8"/>
  <c r="AF984" i="8"/>
  <c r="AF986" i="8"/>
  <c r="AF985" i="8"/>
  <c r="AF989" i="8"/>
  <c r="AF988" i="8"/>
  <c r="AF683" i="8"/>
  <c r="AF846" i="8"/>
  <c r="AF845" i="8"/>
  <c r="AF844" i="8"/>
  <c r="AF847" i="8"/>
  <c r="AF848" i="8"/>
  <c r="AF762" i="8"/>
  <c r="AF763" i="8"/>
  <c r="AF760" i="8"/>
  <c r="AF764" i="8"/>
  <c r="AF759" i="8"/>
  <c r="AF761" i="8"/>
  <c r="AF682" i="8"/>
  <c r="AF338" i="8"/>
  <c r="AF521" i="8"/>
  <c r="AF680" i="8"/>
  <c r="AF681" i="8"/>
  <c r="AF684" i="8"/>
  <c r="AF685" i="8"/>
  <c r="AF598" i="8"/>
  <c r="AF600" i="8"/>
  <c r="AF597" i="8"/>
  <c r="AF599" i="8"/>
  <c r="AF596" i="8"/>
  <c r="AF595" i="8"/>
  <c r="AF520" i="8"/>
  <c r="AF518" i="8"/>
  <c r="AF517" i="8"/>
  <c r="AF516" i="8"/>
  <c r="AF519" i="8"/>
  <c r="AF339" i="8"/>
  <c r="AF841" i="8"/>
  <c r="AF679" i="8"/>
  <c r="AF337" i="8"/>
  <c r="AF435" i="8"/>
  <c r="AF436" i="8"/>
  <c r="AF433" i="8"/>
  <c r="AF434" i="8"/>
  <c r="AF431" i="8"/>
  <c r="AF432" i="8"/>
  <c r="AF336" i="8"/>
  <c r="AF335" i="8"/>
  <c r="AF334" i="8"/>
  <c r="AF121" i="8"/>
  <c r="AF117" i="8"/>
  <c r="AF116" i="8"/>
  <c r="AF120" i="8"/>
  <c r="AF118" i="8"/>
  <c r="AF119" i="8"/>
  <c r="AF758" i="8"/>
  <c r="AF981" i="8"/>
  <c r="AF757" i="8"/>
  <c r="AF1065" i="8"/>
  <c r="AF1064" i="8"/>
  <c r="AF234" i="8"/>
  <c r="AF235" i="8"/>
  <c r="AF236" i="8"/>
  <c r="AF233" i="8"/>
  <c r="AF232" i="8"/>
  <c r="AF231" i="8"/>
  <c r="AF983" i="8"/>
  <c r="AF843" i="8"/>
  <c r="AF1068" i="8"/>
  <c r="AF1063" i="8"/>
  <c r="AF1067" i="8"/>
  <c r="AF980" i="8"/>
  <c r="AF978" i="8"/>
  <c r="AF979" i="8"/>
  <c r="AF982" i="8"/>
  <c r="AF840" i="8"/>
  <c r="AF839" i="8"/>
  <c r="AF838" i="8"/>
  <c r="AF842" i="8"/>
  <c r="AF756" i="8"/>
  <c r="AF678" i="8"/>
  <c r="AF676" i="8"/>
  <c r="AF755" i="8"/>
  <c r="AF753" i="8"/>
  <c r="AF754" i="8"/>
  <c r="AF675" i="8"/>
  <c r="AF674" i="8"/>
  <c r="AF677" i="8"/>
  <c r="AF430" i="8"/>
  <c r="AF594" i="8"/>
  <c r="AF593" i="8"/>
  <c r="AF590" i="8"/>
  <c r="AF589" i="8"/>
  <c r="AF592" i="8"/>
  <c r="AF591" i="8"/>
  <c r="AF230" i="8"/>
  <c r="AF515" i="8"/>
  <c r="AF514" i="8"/>
  <c r="AF512" i="8"/>
  <c r="AF510" i="8"/>
  <c r="AF511" i="8"/>
  <c r="AF513" i="8"/>
  <c r="AF427" i="8"/>
  <c r="AF429" i="8"/>
  <c r="AF426" i="8"/>
  <c r="AF425" i="8"/>
  <c r="AF428" i="8"/>
  <c r="AF228" i="8"/>
  <c r="AF113" i="8"/>
  <c r="AF328" i="8"/>
  <c r="AF332" i="8"/>
  <c r="AF329" i="8"/>
  <c r="AF333" i="8"/>
  <c r="AF330" i="8"/>
  <c r="AF331" i="8"/>
  <c r="AF227" i="8"/>
  <c r="AF226" i="8"/>
  <c r="AF225" i="8"/>
  <c r="AF229" i="8"/>
  <c r="AF114" i="8"/>
  <c r="AF115" i="8"/>
  <c r="AF112" i="8"/>
  <c r="AF110" i="8"/>
  <c r="AF111" i="8"/>
  <c r="AF975" i="8"/>
  <c r="AF224" i="8"/>
  <c r="AF586" i="8"/>
  <c r="AF220" i="8"/>
  <c r="AF588" i="8"/>
  <c r="AF223" i="8"/>
  <c r="AF221" i="8"/>
  <c r="AF222" i="8"/>
  <c r="AF219" i="8"/>
  <c r="AF752" i="8"/>
  <c r="AF424" i="8"/>
  <c r="AF750" i="8"/>
  <c r="AF422" i="8"/>
  <c r="AF977" i="8"/>
  <c r="AF974" i="8"/>
  <c r="AF973" i="8"/>
  <c r="AF972" i="8"/>
  <c r="AF976" i="8"/>
  <c r="AF749" i="8"/>
  <c r="AF748" i="8"/>
  <c r="AF747" i="8"/>
  <c r="AF751" i="8"/>
  <c r="AF585" i="8"/>
  <c r="AF584" i="8"/>
  <c r="AF583" i="8"/>
  <c r="AF587" i="8"/>
  <c r="AF214" i="8"/>
  <c r="AF421" i="8"/>
  <c r="AF419" i="8"/>
  <c r="AF420" i="8"/>
  <c r="AF423" i="8"/>
  <c r="AF213" i="8"/>
  <c r="AF216" i="8"/>
  <c r="AF327" i="8"/>
  <c r="AF324" i="8"/>
  <c r="AF325" i="8"/>
  <c r="AF323" i="8"/>
  <c r="AF322" i="8"/>
  <c r="AF326" i="8"/>
  <c r="AF217" i="8"/>
  <c r="AF215" i="8"/>
  <c r="AF218" i="8"/>
  <c r="AF106" i="8"/>
  <c r="AF107" i="8"/>
  <c r="AF108" i="8"/>
  <c r="AF109" i="8"/>
  <c r="AF105" i="8"/>
  <c r="AF104" i="8"/>
  <c r="AF970" i="8"/>
  <c r="AF204" i="8"/>
  <c r="AF318" i="8"/>
  <c r="AF319" i="8"/>
  <c r="AF205" i="8"/>
  <c r="AF1190" i="8"/>
  <c r="AF210" i="8"/>
  <c r="AF211" i="8"/>
  <c r="AF212" i="8"/>
  <c r="AF209" i="8"/>
  <c r="AF207" i="8"/>
  <c r="AF208" i="8"/>
  <c r="AF321" i="8"/>
  <c r="AF206" i="8"/>
  <c r="AF317" i="8"/>
  <c r="AF316" i="8"/>
  <c r="AF320" i="8"/>
  <c r="AF202" i="8"/>
  <c r="AF201" i="8"/>
  <c r="AF203" i="8"/>
  <c r="AF103" i="8"/>
  <c r="AF101" i="8"/>
  <c r="AF100" i="8"/>
  <c r="AF102" i="8"/>
  <c r="AF99" i="8"/>
  <c r="AF98" i="8"/>
  <c r="AF1196" i="8"/>
  <c r="AF1192" i="8"/>
  <c r="AF1191" i="8"/>
  <c r="AF1193" i="8"/>
  <c r="AF1195" i="8"/>
  <c r="AF1194" i="8"/>
  <c r="AF907" i="8"/>
  <c r="AF1135" i="8"/>
  <c r="AF671" i="8"/>
  <c r="AF1134" i="8"/>
  <c r="AF1130" i="8"/>
  <c r="AF1131" i="8"/>
  <c r="AF1132" i="8"/>
  <c r="AF1133" i="8"/>
  <c r="AF910" i="8"/>
  <c r="AF745" i="8"/>
  <c r="AF1060" i="8"/>
  <c r="AF1059" i="8"/>
  <c r="AF1062" i="8"/>
  <c r="AF1061" i="8"/>
  <c r="AF1058" i="8"/>
  <c r="AF1057" i="8"/>
  <c r="AF971" i="8"/>
  <c r="AF966" i="8"/>
  <c r="AF967" i="8"/>
  <c r="AF968" i="8"/>
  <c r="AF969" i="8"/>
  <c r="AF908" i="8"/>
  <c r="AF906" i="8"/>
  <c r="AF905" i="8"/>
  <c r="AF909" i="8"/>
  <c r="AF837" i="8"/>
  <c r="AF836" i="8"/>
  <c r="AF832" i="8"/>
  <c r="AF833" i="8"/>
  <c r="AF834" i="8"/>
  <c r="AF835" i="8"/>
  <c r="AF743" i="8"/>
  <c r="AF744" i="8"/>
  <c r="AF746" i="8"/>
  <c r="AF742" i="8"/>
  <c r="AF741" i="8"/>
  <c r="AF673" i="8"/>
  <c r="AF670" i="8"/>
  <c r="AF672" i="8"/>
  <c r="AF669" i="8"/>
  <c r="AF668" i="8"/>
  <c r="AF315" i="8"/>
  <c r="AF579" i="8"/>
  <c r="AF582" i="8"/>
  <c r="AF577" i="8"/>
  <c r="AF578" i="8"/>
  <c r="AF581" i="8"/>
  <c r="AF580" i="8"/>
  <c r="AF506" i="8"/>
  <c r="AF509" i="8"/>
  <c r="AF507" i="8"/>
  <c r="AF505" i="8"/>
  <c r="AF504" i="8"/>
  <c r="AF508" i="8"/>
  <c r="AF200" i="8"/>
  <c r="AF416" i="8"/>
  <c r="AF418" i="8"/>
  <c r="AF415" i="8"/>
  <c r="AF417" i="8"/>
  <c r="AF414" i="8"/>
  <c r="AF413" i="8"/>
  <c r="AF312" i="8"/>
  <c r="AF311" i="8"/>
  <c r="AF310" i="8"/>
  <c r="AF314" i="8"/>
  <c r="AF313" i="8"/>
  <c r="AF198" i="8"/>
  <c r="AF197" i="8"/>
  <c r="AF199" i="8"/>
  <c r="AF196" i="8"/>
  <c r="AF195" i="8"/>
  <c r="AF97" i="8"/>
  <c r="AF1189" i="8"/>
  <c r="AF828" i="8"/>
  <c r="AF412" i="8"/>
  <c r="AF94" i="8"/>
  <c r="AF95" i="8"/>
  <c r="AF92" i="8"/>
  <c r="AF93" i="8"/>
  <c r="AF96" i="8"/>
  <c r="AF1188" i="8"/>
  <c r="AF1185" i="8"/>
  <c r="AF1186" i="8"/>
  <c r="AF1187" i="8"/>
  <c r="AF1129" i="8"/>
  <c r="AF1127" i="8"/>
  <c r="AF1125" i="8"/>
  <c r="AF1124" i="8"/>
  <c r="AF1128" i="8"/>
  <c r="AF1126" i="8"/>
  <c r="AF1056" i="8"/>
  <c r="AF1054" i="8"/>
  <c r="AF1053" i="8"/>
  <c r="AF1055" i="8"/>
  <c r="AF1052" i="8"/>
  <c r="AF1051" i="8"/>
  <c r="AF192" i="8"/>
  <c r="AF963" i="8"/>
  <c r="AF964" i="8"/>
  <c r="AF962" i="8"/>
  <c r="AF961" i="8"/>
  <c r="AF960" i="8"/>
  <c r="AF965" i="8"/>
  <c r="AF191" i="8"/>
  <c r="AF500" i="8"/>
  <c r="AF503" i="8"/>
  <c r="AF904" i="8"/>
  <c r="AF901" i="8"/>
  <c r="AF902" i="8"/>
  <c r="AF903" i="8"/>
  <c r="AF900" i="8"/>
  <c r="AF899" i="8"/>
  <c r="AF829" i="8"/>
  <c r="AF830" i="8"/>
  <c r="AF827" i="8"/>
  <c r="AF826" i="8"/>
  <c r="AF831" i="8"/>
  <c r="AF740" i="8"/>
  <c r="AF738" i="8"/>
  <c r="AF735" i="8"/>
  <c r="AF736" i="8"/>
  <c r="AF739" i="8"/>
  <c r="AF737" i="8"/>
  <c r="AF667" i="8"/>
  <c r="AF666" i="8"/>
  <c r="AF662" i="8"/>
  <c r="AF663" i="8"/>
  <c r="AF664" i="8"/>
  <c r="AF665" i="8"/>
  <c r="AF576" i="8"/>
  <c r="AF575" i="8"/>
  <c r="AF573" i="8"/>
  <c r="AF572" i="8"/>
  <c r="AF571" i="8"/>
  <c r="AF574" i="8"/>
  <c r="AF501" i="8"/>
  <c r="AF499" i="8"/>
  <c r="AF498" i="8"/>
  <c r="AF502" i="8"/>
  <c r="AF410" i="8"/>
  <c r="AF409" i="8"/>
  <c r="AF411" i="8"/>
  <c r="AF408" i="8"/>
  <c r="AF407" i="8"/>
  <c r="AF307" i="8"/>
  <c r="AF309" i="8"/>
  <c r="AF308" i="8"/>
  <c r="AF304" i="8"/>
  <c r="AF305" i="8"/>
  <c r="AF306" i="8"/>
  <c r="AF194" i="8"/>
  <c r="AF193" i="8"/>
  <c r="AF190" i="8"/>
  <c r="AF189" i="8"/>
  <c r="AF91" i="8"/>
  <c r="AF87" i="8"/>
  <c r="AF86" i="8"/>
  <c r="AF90" i="8"/>
  <c r="AF88" i="8"/>
  <c r="AF89" i="8"/>
  <c r="AF1184" i="8"/>
  <c r="AF1179" i="8"/>
  <c r="AF1180" i="8"/>
  <c r="AF1183" i="8"/>
  <c r="AF1181" i="8"/>
  <c r="AF1182" i="8"/>
  <c r="AF1120" i="8"/>
  <c r="AF1121" i="8"/>
  <c r="AF1123" i="8"/>
  <c r="AF1119" i="8"/>
  <c r="AF1118" i="8"/>
  <c r="AF1122" i="8"/>
  <c r="AF1047" i="8"/>
  <c r="AF1050" i="8"/>
  <c r="AF1049" i="8"/>
  <c r="AF1045" i="8"/>
  <c r="AF1046" i="8"/>
  <c r="AF1048" i="8"/>
  <c r="AF959" i="8"/>
  <c r="AF958" i="8"/>
  <c r="AF955" i="8"/>
  <c r="AF954" i="8"/>
  <c r="AF956" i="8"/>
  <c r="AF957" i="8"/>
  <c r="AF497" i="8"/>
  <c r="AF896" i="8"/>
  <c r="AF898" i="8"/>
  <c r="AF895" i="8"/>
  <c r="AF897" i="8"/>
  <c r="AF894" i="8"/>
  <c r="AF893" i="8"/>
  <c r="AF567" i="8"/>
  <c r="AF824" i="8"/>
  <c r="AF1108" i="8"/>
  <c r="AF1169" i="8"/>
  <c r="AF825" i="8"/>
  <c r="AF820" i="8"/>
  <c r="AF821" i="8"/>
  <c r="AF822" i="8"/>
  <c r="AF823" i="8"/>
  <c r="AF732" i="8"/>
  <c r="AF734" i="8"/>
  <c r="AF731" i="8"/>
  <c r="AF733" i="8"/>
  <c r="AF729" i="8"/>
  <c r="AF730" i="8"/>
  <c r="AF659" i="8"/>
  <c r="AF661" i="8"/>
  <c r="AF658" i="8"/>
  <c r="AF660" i="8"/>
  <c r="AF657" i="8"/>
  <c r="AF656" i="8"/>
  <c r="AF566" i="8"/>
  <c r="AF565" i="8"/>
  <c r="AF568" i="8"/>
  <c r="AF569" i="8"/>
  <c r="AF570" i="8"/>
  <c r="AF495" i="8"/>
  <c r="AF496" i="8"/>
  <c r="AF494" i="8"/>
  <c r="AF493" i="8"/>
  <c r="AF492" i="8"/>
  <c r="AF404" i="8"/>
  <c r="AF403" i="8"/>
  <c r="AF401" i="8"/>
  <c r="AF402" i="8"/>
  <c r="AF406" i="8"/>
  <c r="AF405" i="8"/>
  <c r="AF301" i="8"/>
  <c r="AF302" i="8"/>
  <c r="AF298" i="8"/>
  <c r="AF299" i="8"/>
  <c r="AF303" i="8"/>
  <c r="AF300" i="8"/>
  <c r="AF186" i="8"/>
  <c r="AF185" i="8"/>
  <c r="AF187" i="8"/>
  <c r="AF184" i="8"/>
  <c r="AF183" i="8"/>
  <c r="AF188" i="8"/>
  <c r="AF83" i="8"/>
  <c r="AF85" i="8"/>
  <c r="AF82" i="8"/>
  <c r="AF81" i="8"/>
  <c r="AF80" i="8"/>
  <c r="AF84" i="8"/>
  <c r="AF1176" i="8"/>
  <c r="AF1168" i="8"/>
  <c r="AF1172" i="8"/>
  <c r="AF1175" i="8"/>
  <c r="AF1173" i="8"/>
  <c r="AF1174" i="8"/>
  <c r="AF1171" i="8"/>
  <c r="AF1170" i="8"/>
  <c r="AF1178" i="8"/>
  <c r="AF1167" i="8"/>
  <c r="AF1177" i="8"/>
  <c r="AF1117" i="8"/>
  <c r="AF1107" i="8"/>
  <c r="AF1111" i="8"/>
  <c r="AF1109" i="8"/>
  <c r="AF1114" i="8"/>
  <c r="AF1116" i="8"/>
  <c r="AF1115" i="8"/>
  <c r="AF1110" i="8"/>
  <c r="AF1106" i="8"/>
  <c r="AF1112" i="8"/>
  <c r="AF1113" i="8"/>
  <c r="AF883" i="8"/>
  <c r="AF1042" i="8"/>
  <c r="AF1034" i="8"/>
  <c r="AF1043" i="8"/>
  <c r="AF1035" i="8"/>
  <c r="AF948" i="8"/>
  <c r="AF1038" i="8"/>
  <c r="AF1039" i="8"/>
  <c r="AF1040" i="8"/>
  <c r="AF1041" i="8"/>
  <c r="AF1037" i="8"/>
  <c r="AF1044" i="8"/>
  <c r="AF1036" i="8"/>
  <c r="AF1033" i="8"/>
  <c r="AF949" i="8"/>
  <c r="AF946" i="8"/>
  <c r="AF944" i="8"/>
  <c r="AF886" i="8"/>
  <c r="AF887" i="8"/>
  <c r="AF953" i="8"/>
  <c r="AF947" i="8"/>
  <c r="AF952" i="8"/>
  <c r="AF951" i="8"/>
  <c r="AF950" i="8"/>
  <c r="AF942" i="8"/>
  <c r="AF943" i="8"/>
  <c r="AF945" i="8"/>
  <c r="AF891" i="8"/>
  <c r="AF888" i="8"/>
  <c r="AF885" i="8"/>
  <c r="AF892" i="8"/>
  <c r="AF882" i="8"/>
  <c r="AF889" i="8"/>
  <c r="AF890" i="8"/>
  <c r="AF884" i="8"/>
  <c r="AF881" i="8"/>
  <c r="AF819" i="8"/>
  <c r="AF816" i="8"/>
  <c r="AF810" i="8"/>
  <c r="AF813" i="8"/>
  <c r="AF812" i="8"/>
  <c r="AF809" i="8"/>
  <c r="AF808" i="8"/>
  <c r="AF811" i="8"/>
  <c r="AF817" i="8"/>
  <c r="AF814" i="8"/>
  <c r="AF815" i="8"/>
  <c r="AF818" i="8"/>
  <c r="AF721" i="8"/>
  <c r="AF726" i="8"/>
  <c r="AF728" i="8"/>
  <c r="AF720" i="8"/>
  <c r="AF724" i="8"/>
  <c r="AF719" i="8"/>
  <c r="AF727" i="8"/>
  <c r="AF717" i="8"/>
  <c r="AF718" i="8"/>
  <c r="AF722" i="8"/>
  <c r="AF725" i="8"/>
  <c r="AF723" i="8"/>
  <c r="AF648" i="8"/>
  <c r="AF649" i="8"/>
  <c r="AF655" i="8"/>
  <c r="AF647" i="8"/>
  <c r="AF653" i="8"/>
  <c r="AF645" i="8"/>
  <c r="AF644" i="8"/>
  <c r="AF646" i="8"/>
  <c r="AF650" i="8"/>
  <c r="AF651" i="8"/>
  <c r="AF652" i="8"/>
  <c r="AF654" i="8"/>
  <c r="AF295" i="8"/>
  <c r="AF558" i="8"/>
  <c r="AF557" i="8"/>
  <c r="AF561" i="8"/>
  <c r="AF554" i="8"/>
  <c r="AF553" i="8"/>
  <c r="AF564" i="8"/>
  <c r="AF555" i="8"/>
  <c r="AF556" i="8"/>
  <c r="AF562" i="8"/>
  <c r="AF560" i="8"/>
  <c r="AF559" i="8"/>
  <c r="AF563" i="8"/>
  <c r="AF485" i="8"/>
  <c r="AF484" i="8"/>
  <c r="AF491" i="8"/>
  <c r="AF488" i="8"/>
  <c r="AF490" i="8"/>
  <c r="AF482" i="8"/>
  <c r="AF486" i="8"/>
  <c r="AF487" i="8"/>
  <c r="AF489" i="8"/>
  <c r="AF483" i="8"/>
  <c r="AF480" i="8"/>
  <c r="AF481" i="8"/>
  <c r="AF400" i="8"/>
  <c r="AF397" i="8"/>
  <c r="AF393" i="8"/>
  <c r="AF391" i="8"/>
  <c r="AF399" i="8"/>
  <c r="AF390" i="8"/>
  <c r="AF389" i="8"/>
  <c r="AF394" i="8"/>
  <c r="AF392" i="8"/>
  <c r="AF395" i="8"/>
  <c r="AF396" i="8"/>
  <c r="AF398" i="8"/>
  <c r="AF297" i="8"/>
  <c r="AF290" i="8"/>
  <c r="AA374" i="8"/>
  <c r="AF289" i="8"/>
  <c r="AF293" i="8"/>
  <c r="AF291" i="8"/>
  <c r="AF296" i="8"/>
  <c r="AF294" i="8"/>
  <c r="AF288" i="8"/>
  <c r="AF287" i="8"/>
  <c r="AF286" i="8"/>
  <c r="AF292" i="8"/>
  <c r="AA550" i="8"/>
  <c r="AF182" i="8"/>
  <c r="AA641" i="8"/>
  <c r="AE153" i="8"/>
  <c r="AF173" i="8"/>
  <c r="AF179" i="8"/>
  <c r="AF176" i="8"/>
  <c r="AF180" i="8"/>
  <c r="AF178" i="8"/>
  <c r="AF177" i="8"/>
  <c r="AF181" i="8"/>
  <c r="AF174" i="8"/>
  <c r="AF175" i="8"/>
  <c r="AF171" i="8"/>
  <c r="AF172" i="8"/>
  <c r="AA65" i="8"/>
  <c r="AB873" i="8"/>
  <c r="AE925" i="8"/>
  <c r="AE1009" i="8" s="1"/>
  <c r="AB138" i="23" s="1"/>
  <c r="AB154" i="23" s="1"/>
  <c r="AE69" i="8"/>
  <c r="AE1016" i="8"/>
  <c r="AF77" i="8"/>
  <c r="AF76" i="8"/>
  <c r="AF79" i="8"/>
  <c r="AF75" i="8"/>
  <c r="AF74" i="8"/>
  <c r="AF78" i="8"/>
  <c r="T73" i="8"/>
  <c r="Z73" i="8" s="1"/>
  <c r="U71" i="8"/>
  <c r="AA71" i="8" s="1"/>
  <c r="T71" i="8"/>
  <c r="Z71" i="8" s="1"/>
  <c r="U72" i="8"/>
  <c r="AA72" i="8" s="1"/>
  <c r="T72" i="8"/>
  <c r="Z72" i="8" s="1"/>
  <c r="U68" i="8"/>
  <c r="AA68" i="8" s="1"/>
  <c r="V73" i="8"/>
  <c r="AB73" i="8" s="1"/>
  <c r="T68" i="8"/>
  <c r="Z68" i="8" s="1"/>
  <c r="U73" i="8"/>
  <c r="AA73" i="8" s="1"/>
  <c r="V70" i="8"/>
  <c r="AB70" i="8" s="1"/>
  <c r="AE463" i="8"/>
  <c r="AE638" i="8"/>
  <c r="V1096" i="8"/>
  <c r="AB1096" i="8" s="1"/>
  <c r="AE626" i="8"/>
  <c r="AE803" i="8"/>
  <c r="AE875" i="8"/>
  <c r="AE936" i="8"/>
  <c r="AE1162" i="8"/>
  <c r="AE1204" i="8" s="1"/>
  <c r="AH138" i="23" s="1"/>
  <c r="AH154" i="23" s="1"/>
  <c r="V68" i="8"/>
  <c r="AB68" i="8" s="1"/>
  <c r="V71" i="8"/>
  <c r="AB71" i="8" s="1"/>
  <c r="T70" i="8"/>
  <c r="Z70" i="8" s="1"/>
  <c r="V72" i="8"/>
  <c r="AB72" i="8" s="1"/>
  <c r="U70" i="8"/>
  <c r="AA70" i="8" s="1"/>
  <c r="U158" i="8"/>
  <c r="AA158" i="8" s="1"/>
  <c r="V158" i="8"/>
  <c r="AB158" i="8" s="1"/>
  <c r="V156" i="8"/>
  <c r="AB156" i="8" s="1"/>
  <c r="U156" i="8"/>
  <c r="AA156" i="8" s="1"/>
  <c r="T156" i="8"/>
  <c r="Z156" i="8" s="1"/>
  <c r="V153" i="8"/>
  <c r="AB153" i="8" s="1"/>
  <c r="U153" i="8"/>
  <c r="AA153" i="8" s="1"/>
  <c r="T153" i="8"/>
  <c r="Z153" i="8" s="1"/>
  <c r="V868" i="8"/>
  <c r="AB868" i="8" s="1"/>
  <c r="U866" i="8"/>
  <c r="AA866" i="8" s="1"/>
  <c r="U863" i="8"/>
  <c r="AA863" i="8" s="1"/>
  <c r="T867" i="8"/>
  <c r="Z867" i="8" s="1"/>
  <c r="U1091" i="8"/>
  <c r="AA1091" i="8" s="1"/>
  <c r="T1092" i="8"/>
  <c r="Z1092" i="8" s="1"/>
  <c r="U1088" i="8"/>
  <c r="AA1088" i="8" s="1"/>
  <c r="V636" i="8"/>
  <c r="AB636" i="8" s="1"/>
  <c r="U632" i="8"/>
  <c r="AA632" i="8" s="1"/>
  <c r="V634" i="8"/>
  <c r="AB634" i="8" s="1"/>
  <c r="U465" i="8"/>
  <c r="AA465" i="8" s="1"/>
  <c r="U466" i="8"/>
  <c r="AA466" i="8" s="1"/>
  <c r="T466" i="8"/>
  <c r="Z466" i="8" s="1"/>
  <c r="T465" i="8"/>
  <c r="Z465" i="8" s="1"/>
  <c r="V467" i="8"/>
  <c r="AB467" i="8" s="1"/>
  <c r="T462" i="8"/>
  <c r="Z462" i="8" s="1"/>
  <c r="U793" i="8"/>
  <c r="AA793" i="8" s="1"/>
  <c r="U794" i="8"/>
  <c r="AA794" i="8" s="1"/>
  <c r="T794" i="8"/>
  <c r="Z794" i="8" s="1"/>
  <c r="V795" i="8"/>
  <c r="AB795" i="8" s="1"/>
  <c r="T793" i="8"/>
  <c r="Z793" i="8" s="1"/>
  <c r="T790" i="8"/>
  <c r="Z790" i="8" s="1"/>
  <c r="V472" i="8"/>
  <c r="AB472" i="8" s="1"/>
  <c r="U473" i="8"/>
  <c r="AA473" i="8" s="1"/>
  <c r="V800" i="8"/>
  <c r="AB800" i="8" s="1"/>
  <c r="T799" i="8"/>
  <c r="Z799" i="8" s="1"/>
  <c r="U271" i="8"/>
  <c r="AA271" i="8" s="1"/>
  <c r="T271" i="8"/>
  <c r="Z271" i="8" s="1"/>
  <c r="T268" i="8"/>
  <c r="Z268" i="8" s="1"/>
  <c r="T272" i="8"/>
  <c r="Z272" i="8" s="1"/>
  <c r="V273" i="8"/>
  <c r="AB273" i="8" s="1"/>
  <c r="U477" i="8"/>
  <c r="AA477" i="8" s="1"/>
  <c r="V479" i="8"/>
  <c r="AB479" i="8" s="1"/>
  <c r="T477" i="8"/>
  <c r="Z477" i="8" s="1"/>
  <c r="T474" i="8"/>
  <c r="Z474" i="8" s="1"/>
  <c r="U626" i="8"/>
  <c r="AA626" i="8" s="1"/>
  <c r="T626" i="8"/>
  <c r="Z626" i="8" s="1"/>
  <c r="T630" i="8"/>
  <c r="Z630" i="8" s="1"/>
  <c r="U538" i="8"/>
  <c r="AA538" i="8" s="1"/>
  <c r="V535" i="8"/>
  <c r="AB535" i="8" s="1"/>
  <c r="V538" i="8"/>
  <c r="AB538" i="8" s="1"/>
  <c r="U702" i="8"/>
  <c r="AA702" i="8" s="1"/>
  <c r="U703" i="8"/>
  <c r="AA703" i="8" s="1"/>
  <c r="T703" i="8"/>
  <c r="Z703" i="8" s="1"/>
  <c r="V704" i="8"/>
  <c r="AB704" i="8" s="1"/>
  <c r="T702" i="8"/>
  <c r="Z702" i="8" s="1"/>
  <c r="T699" i="8"/>
  <c r="Z699" i="8" s="1"/>
  <c r="U1152" i="8"/>
  <c r="AA1152" i="8" s="1"/>
  <c r="T1153" i="8"/>
  <c r="Z1153" i="8" s="1"/>
  <c r="U1149" i="8"/>
  <c r="AA1149" i="8" s="1"/>
  <c r="T375" i="8"/>
  <c r="Z375" i="8" s="1"/>
  <c r="AE541" i="8"/>
  <c r="AE619" i="8" s="1"/>
  <c r="AE165" i="8"/>
  <c r="AE268" i="8"/>
  <c r="AE280" i="8"/>
  <c r="AE372" i="8"/>
  <c r="AE384" i="8"/>
  <c r="AE475" i="8"/>
  <c r="AE712" i="8"/>
  <c r="AE863" i="8"/>
  <c r="AE869" i="8"/>
  <c r="V276" i="8"/>
  <c r="AB276" i="8" s="1"/>
  <c r="U278" i="8"/>
  <c r="AA278" i="8" s="1"/>
  <c r="V871" i="8"/>
  <c r="AB871" i="8" s="1"/>
  <c r="T705" i="8"/>
  <c r="Z705" i="8" s="1"/>
  <c r="AE1088" i="8"/>
  <c r="AE1155" i="8"/>
  <c r="AE791" i="8"/>
  <c r="AE857" i="8" s="1"/>
  <c r="X138" i="23" s="1"/>
  <c r="X154" i="23" s="1"/>
  <c r="U874" i="8"/>
  <c r="AA874" i="8" s="1"/>
  <c r="U875" i="8"/>
  <c r="AA875" i="8" s="1"/>
  <c r="AE1100" i="8"/>
  <c r="AE377" i="8"/>
  <c r="AE455" i="8" s="1"/>
  <c r="AE700" i="8"/>
  <c r="AE1028" i="8"/>
  <c r="AE1149" i="8"/>
  <c r="AE1203" i="8" s="1"/>
  <c r="U274" i="8"/>
  <c r="AA274" i="8" s="1"/>
  <c r="U277" i="8"/>
  <c r="AA277" i="8" s="1"/>
  <c r="U279" i="8"/>
  <c r="AA279" i="8" s="1"/>
  <c r="U1164" i="8"/>
  <c r="AA1164" i="8" s="1"/>
  <c r="T1165" i="8"/>
  <c r="Z1165" i="8" s="1"/>
  <c r="U1161" i="8"/>
  <c r="AA1161" i="8" s="1"/>
  <c r="AA878" i="8"/>
  <c r="T879" i="8"/>
  <c r="Z879" i="8" s="1"/>
  <c r="U805" i="8"/>
  <c r="AA805" i="8" s="1"/>
  <c r="U806" i="8"/>
  <c r="AA806" i="8" s="1"/>
  <c r="T806" i="8"/>
  <c r="Z806" i="8" s="1"/>
  <c r="V807" i="8"/>
  <c r="AB807" i="8" s="1"/>
  <c r="T805" i="8"/>
  <c r="Z805" i="8" s="1"/>
  <c r="T802" i="8"/>
  <c r="Z802" i="8" s="1"/>
  <c r="U714" i="8"/>
  <c r="AA714" i="8" s="1"/>
  <c r="T714" i="8"/>
  <c r="Z714" i="8" s="1"/>
  <c r="T711" i="8"/>
  <c r="Z711" i="8" s="1"/>
  <c r="U715" i="8"/>
  <c r="AA715" i="8" s="1"/>
  <c r="T715" i="8"/>
  <c r="Z715" i="8" s="1"/>
  <c r="V716" i="8"/>
  <c r="AB716" i="8" s="1"/>
  <c r="T642" i="8"/>
  <c r="Z642" i="8" s="1"/>
  <c r="T638" i="8"/>
  <c r="Z638" i="8" s="1"/>
  <c r="V550" i="8"/>
  <c r="AB550" i="8" s="1"/>
  <c r="V547" i="8"/>
  <c r="AB547" i="8" s="1"/>
  <c r="T478" i="8"/>
  <c r="Z478" i="8" s="1"/>
  <c r="U386" i="8"/>
  <c r="AA386" i="8" s="1"/>
  <c r="T387" i="8"/>
  <c r="Z387" i="8" s="1"/>
  <c r="T284" i="8"/>
  <c r="Z284" i="8" s="1"/>
  <c r="T280" i="8"/>
  <c r="Z280" i="8" s="1"/>
  <c r="T283" i="8"/>
  <c r="Z283" i="8" s="1"/>
  <c r="V285" i="8"/>
  <c r="AB285" i="8" s="1"/>
  <c r="AA283" i="8"/>
  <c r="U168" i="8"/>
  <c r="AA168" i="8" s="1"/>
  <c r="T168" i="8"/>
  <c r="Z168" i="8" s="1"/>
  <c r="V165" i="8"/>
  <c r="AB165" i="8" s="1"/>
  <c r="U165" i="8"/>
  <c r="AA165" i="8" s="1"/>
  <c r="T165" i="8"/>
  <c r="Z165" i="8" s="1"/>
  <c r="V168" i="8"/>
  <c r="AB168" i="8" s="1"/>
  <c r="V62" i="8"/>
  <c r="AB62" i="8" s="1"/>
  <c r="V1159" i="8"/>
  <c r="AB1159" i="8" s="1"/>
  <c r="V1157" i="8"/>
  <c r="AB1157" i="8" s="1"/>
  <c r="U1160" i="8"/>
  <c r="AA1160" i="8" s="1"/>
  <c r="V1149" i="8"/>
  <c r="AB1149" i="8" s="1"/>
  <c r="V1152" i="8"/>
  <c r="AB1152" i="8" s="1"/>
  <c r="U1157" i="8"/>
  <c r="AA1157" i="8" s="1"/>
  <c r="T1160" i="8"/>
  <c r="Z1160" i="8" s="1"/>
  <c r="V1161" i="8"/>
  <c r="AB1161" i="8" s="1"/>
  <c r="V1164" i="8"/>
  <c r="AB1164" i="8" s="1"/>
  <c r="U1153" i="8"/>
  <c r="AA1153" i="8" s="1"/>
  <c r="T1155" i="8"/>
  <c r="Z1155" i="8" s="1"/>
  <c r="T1158" i="8"/>
  <c r="Z1158" i="8" s="1"/>
  <c r="V1160" i="8"/>
  <c r="AB1160" i="8" s="1"/>
  <c r="U1165" i="8"/>
  <c r="AA1165" i="8" s="1"/>
  <c r="T1151" i="8"/>
  <c r="Z1151" i="8" s="1"/>
  <c r="V1153" i="8"/>
  <c r="AB1153" i="8" s="1"/>
  <c r="U1155" i="8"/>
  <c r="AA1155" i="8" s="1"/>
  <c r="U1158" i="8"/>
  <c r="AA1158" i="8" s="1"/>
  <c r="T1163" i="8"/>
  <c r="Z1163" i="8" s="1"/>
  <c r="V1165" i="8"/>
  <c r="AB1165" i="8" s="1"/>
  <c r="U1151" i="8"/>
  <c r="AA1151" i="8" s="1"/>
  <c r="T1154" i="8"/>
  <c r="Z1154" i="8" s="1"/>
  <c r="V1155" i="8"/>
  <c r="AB1155" i="8" s="1"/>
  <c r="V1158" i="8"/>
  <c r="AB1158" i="8" s="1"/>
  <c r="U1163" i="8"/>
  <c r="AA1163" i="8" s="1"/>
  <c r="T1166" i="8"/>
  <c r="Z1166" i="8" s="1"/>
  <c r="V1151" i="8"/>
  <c r="AB1151" i="8" s="1"/>
  <c r="U1154" i="8"/>
  <c r="AA1154" i="8" s="1"/>
  <c r="T1159" i="8"/>
  <c r="Z1159" i="8" s="1"/>
  <c r="V1163" i="8"/>
  <c r="AB1163" i="8" s="1"/>
  <c r="U1166" i="8"/>
  <c r="AA1166" i="8" s="1"/>
  <c r="T1149" i="8"/>
  <c r="Z1149" i="8" s="1"/>
  <c r="T1152" i="8"/>
  <c r="Z1152" i="8" s="1"/>
  <c r="V1154" i="8"/>
  <c r="AB1154" i="8" s="1"/>
  <c r="U1159" i="8"/>
  <c r="AA1159" i="8" s="1"/>
  <c r="T1161" i="8"/>
  <c r="Z1161" i="8" s="1"/>
  <c r="T1164" i="8"/>
  <c r="Z1164" i="8" s="1"/>
  <c r="V1166" i="8"/>
  <c r="AB1166" i="8" s="1"/>
  <c r="T1157" i="8"/>
  <c r="Z1157" i="8" s="1"/>
  <c r="AB1098" i="8"/>
  <c r="U1099" i="8"/>
  <c r="AA1099" i="8" s="1"/>
  <c r="U1103" i="8"/>
  <c r="AA1103" i="8" s="1"/>
  <c r="U1100" i="8"/>
  <c r="AA1100" i="8" s="1"/>
  <c r="V1105" i="8"/>
  <c r="AB1105" i="8" s="1"/>
  <c r="T1103" i="8"/>
  <c r="Z1103" i="8" s="1"/>
  <c r="T1100" i="8"/>
  <c r="Z1100" i="8" s="1"/>
  <c r="U1105" i="8"/>
  <c r="AA1105" i="8" s="1"/>
  <c r="V1102" i="8"/>
  <c r="AB1102" i="8" s="1"/>
  <c r="T1105" i="8"/>
  <c r="Z1105" i="8" s="1"/>
  <c r="U1102" i="8"/>
  <c r="AA1102" i="8" s="1"/>
  <c r="T1104" i="8"/>
  <c r="Z1104" i="8" s="1"/>
  <c r="V1104" i="8"/>
  <c r="AB1104" i="8" s="1"/>
  <c r="T1102" i="8"/>
  <c r="Z1102" i="8" s="1"/>
  <c r="U1104" i="8"/>
  <c r="AA1104" i="8" s="1"/>
  <c r="V1103" i="8"/>
  <c r="AB1103" i="8" s="1"/>
  <c r="V1100" i="8"/>
  <c r="AB1100" i="8" s="1"/>
  <c r="V1088" i="8"/>
  <c r="AB1088" i="8" s="1"/>
  <c r="V1091" i="8"/>
  <c r="AB1091" i="8" s="1"/>
  <c r="U1096" i="8"/>
  <c r="AA1096" i="8" s="1"/>
  <c r="T1099" i="8"/>
  <c r="Z1099" i="8" s="1"/>
  <c r="U1092" i="8"/>
  <c r="AA1092" i="8" s="1"/>
  <c r="T1094" i="8"/>
  <c r="Z1094" i="8" s="1"/>
  <c r="T1097" i="8"/>
  <c r="Z1097" i="8" s="1"/>
  <c r="V1099" i="8"/>
  <c r="AB1099" i="8" s="1"/>
  <c r="T1090" i="8"/>
  <c r="Z1090" i="8" s="1"/>
  <c r="V1092" i="8"/>
  <c r="AB1092" i="8" s="1"/>
  <c r="U1094" i="8"/>
  <c r="AA1094" i="8" s="1"/>
  <c r="AE1094" i="8"/>
  <c r="U1097" i="8"/>
  <c r="AA1097" i="8" s="1"/>
  <c r="U1090" i="8"/>
  <c r="AA1090" i="8" s="1"/>
  <c r="T1093" i="8"/>
  <c r="Z1093" i="8" s="1"/>
  <c r="V1094" i="8"/>
  <c r="AB1094" i="8" s="1"/>
  <c r="V1097" i="8"/>
  <c r="AB1097" i="8" s="1"/>
  <c r="V1090" i="8"/>
  <c r="AB1090" i="8" s="1"/>
  <c r="U1093" i="8"/>
  <c r="AA1093" i="8" s="1"/>
  <c r="T1098" i="8"/>
  <c r="Z1098" i="8" s="1"/>
  <c r="T1088" i="8"/>
  <c r="Z1088" i="8" s="1"/>
  <c r="T1091" i="8"/>
  <c r="Z1091" i="8" s="1"/>
  <c r="V1093" i="8"/>
  <c r="AB1093" i="8" s="1"/>
  <c r="U1098" i="8"/>
  <c r="AA1098" i="8" s="1"/>
  <c r="T1096" i="8"/>
  <c r="Z1096" i="8" s="1"/>
  <c r="T1021" i="8"/>
  <c r="Z1021" i="8" s="1"/>
  <c r="V1023" i="8"/>
  <c r="AB1023" i="8" s="1"/>
  <c r="AB1025" i="8"/>
  <c r="U1026" i="8"/>
  <c r="AA1026" i="8" s="1"/>
  <c r="U1018" i="8"/>
  <c r="AA1018" i="8" s="1"/>
  <c r="U1015" i="8"/>
  <c r="AA1015" i="8" s="1"/>
  <c r="T1019" i="8"/>
  <c r="Z1019" i="8" s="1"/>
  <c r="V1020" i="8"/>
  <c r="AB1020" i="8" s="1"/>
  <c r="T1018" i="8"/>
  <c r="Z1018" i="8" s="1"/>
  <c r="T1015" i="8"/>
  <c r="Z1015" i="8" s="1"/>
  <c r="U1020" i="8"/>
  <c r="AA1020" i="8" s="1"/>
  <c r="V1017" i="8"/>
  <c r="AB1017" i="8" s="1"/>
  <c r="T1020" i="8"/>
  <c r="Z1020" i="8" s="1"/>
  <c r="U1017" i="8"/>
  <c r="AA1017" i="8" s="1"/>
  <c r="V1019" i="8"/>
  <c r="AB1019" i="8" s="1"/>
  <c r="T1017" i="8"/>
  <c r="Z1017" i="8" s="1"/>
  <c r="U1019" i="8"/>
  <c r="AA1019" i="8" s="1"/>
  <c r="V1018" i="8"/>
  <c r="AB1018" i="8" s="1"/>
  <c r="V1015" i="8"/>
  <c r="AB1015" i="8" s="1"/>
  <c r="U1030" i="8"/>
  <c r="AA1030" i="8" s="1"/>
  <c r="U1027" i="8"/>
  <c r="AA1027" i="8" s="1"/>
  <c r="V1032" i="8"/>
  <c r="AB1032" i="8" s="1"/>
  <c r="T1030" i="8"/>
  <c r="Z1030" i="8" s="1"/>
  <c r="T1027" i="8"/>
  <c r="Z1027" i="8" s="1"/>
  <c r="U1032" i="8"/>
  <c r="AA1032" i="8" s="1"/>
  <c r="V1029" i="8"/>
  <c r="AB1029" i="8" s="1"/>
  <c r="T1032" i="8"/>
  <c r="Z1032" i="8" s="1"/>
  <c r="U1029" i="8"/>
  <c r="AA1029" i="8" s="1"/>
  <c r="V1031" i="8"/>
  <c r="AB1031" i="8" s="1"/>
  <c r="T1029" i="8"/>
  <c r="Z1029" i="8" s="1"/>
  <c r="U1031" i="8"/>
  <c r="AA1031" i="8" s="1"/>
  <c r="V1030" i="8"/>
  <c r="AB1030" i="8" s="1"/>
  <c r="V1027" i="8"/>
  <c r="AB1027" i="8" s="1"/>
  <c r="T1031" i="8"/>
  <c r="Z1031" i="8" s="1"/>
  <c r="U1023" i="8"/>
  <c r="AA1023" i="8" s="1"/>
  <c r="T1026" i="8"/>
  <c r="Z1026" i="8" s="1"/>
  <c r="T1024" i="8"/>
  <c r="Z1024" i="8" s="1"/>
  <c r="V1026" i="8"/>
  <c r="AB1026" i="8" s="1"/>
  <c r="U1021" i="8"/>
  <c r="AA1021" i="8" s="1"/>
  <c r="AE1021" i="8"/>
  <c r="AE1081" i="8" s="1"/>
  <c r="U1024" i="8"/>
  <c r="AA1024" i="8" s="1"/>
  <c r="V1021" i="8"/>
  <c r="AB1021" i="8" s="1"/>
  <c r="V1024" i="8"/>
  <c r="AB1024" i="8" s="1"/>
  <c r="T1025" i="8"/>
  <c r="Z1025" i="8" s="1"/>
  <c r="U1025" i="8"/>
  <c r="AA1025" i="8" s="1"/>
  <c r="T1023" i="8"/>
  <c r="Z1023" i="8" s="1"/>
  <c r="U934" i="8"/>
  <c r="AA934" i="8" s="1"/>
  <c r="T932" i="8"/>
  <c r="Z932" i="8" s="1"/>
  <c r="V941" i="8"/>
  <c r="AB941" i="8" s="1"/>
  <c r="T939" i="8"/>
  <c r="Z939" i="8" s="1"/>
  <c r="T936" i="8"/>
  <c r="Z936" i="8" s="1"/>
  <c r="T940" i="8"/>
  <c r="Z940" i="8" s="1"/>
  <c r="U941" i="8"/>
  <c r="AA941" i="8" s="1"/>
  <c r="V938" i="8"/>
  <c r="AB938" i="8" s="1"/>
  <c r="T941" i="8"/>
  <c r="Z941" i="8" s="1"/>
  <c r="U938" i="8"/>
  <c r="AA938" i="8" s="1"/>
  <c r="V940" i="8"/>
  <c r="AB940" i="8" s="1"/>
  <c r="T938" i="8"/>
  <c r="Z938" i="8" s="1"/>
  <c r="U940" i="8"/>
  <c r="AA940" i="8" s="1"/>
  <c r="V939" i="8"/>
  <c r="AB939" i="8" s="1"/>
  <c r="V936" i="8"/>
  <c r="AB936" i="8" s="1"/>
  <c r="U939" i="8"/>
  <c r="AA939" i="8" s="1"/>
  <c r="U936" i="8"/>
  <c r="AA936" i="8" s="1"/>
  <c r="V929" i="8"/>
  <c r="AB929" i="8" s="1"/>
  <c r="T927" i="8"/>
  <c r="Z927" i="8" s="1"/>
  <c r="T924" i="8"/>
  <c r="Z924" i="8" s="1"/>
  <c r="U929" i="8"/>
  <c r="AA929" i="8" s="1"/>
  <c r="V926" i="8"/>
  <c r="AB926" i="8" s="1"/>
  <c r="T929" i="8"/>
  <c r="Z929" i="8" s="1"/>
  <c r="U926" i="8"/>
  <c r="AA926" i="8" s="1"/>
  <c r="V928" i="8"/>
  <c r="AB928" i="8" s="1"/>
  <c r="T926" i="8"/>
  <c r="Z926" i="8" s="1"/>
  <c r="U924" i="8"/>
  <c r="AA924" i="8" s="1"/>
  <c r="U928" i="8"/>
  <c r="AA928" i="8" s="1"/>
  <c r="T928" i="8"/>
  <c r="Z928" i="8" s="1"/>
  <c r="V927" i="8"/>
  <c r="AB927" i="8" s="1"/>
  <c r="V924" i="8"/>
  <c r="AB924" i="8" s="1"/>
  <c r="U927" i="8"/>
  <c r="AA927" i="8" s="1"/>
  <c r="V934" i="8"/>
  <c r="AB934" i="8" s="1"/>
  <c r="U932" i="8"/>
  <c r="AA932" i="8" s="1"/>
  <c r="T935" i="8"/>
  <c r="Z935" i="8" s="1"/>
  <c r="U935" i="8"/>
  <c r="AA935" i="8" s="1"/>
  <c r="T930" i="8"/>
  <c r="Z930" i="8" s="1"/>
  <c r="T933" i="8"/>
  <c r="Z933" i="8" s="1"/>
  <c r="V935" i="8"/>
  <c r="AB935" i="8" s="1"/>
  <c r="V932" i="8"/>
  <c r="AB932" i="8" s="1"/>
  <c r="U930" i="8"/>
  <c r="AA930" i="8" s="1"/>
  <c r="AE930" i="8"/>
  <c r="U933" i="8"/>
  <c r="AA933" i="8" s="1"/>
  <c r="V930" i="8"/>
  <c r="AB930" i="8" s="1"/>
  <c r="V933" i="8"/>
  <c r="AB933" i="8" s="1"/>
  <c r="T934" i="8"/>
  <c r="Z934" i="8" s="1"/>
  <c r="V863" i="8"/>
  <c r="AB863" i="8" s="1"/>
  <c r="V866" i="8"/>
  <c r="AB866" i="8" s="1"/>
  <c r="U871" i="8"/>
  <c r="AA871" i="8" s="1"/>
  <c r="T874" i="8"/>
  <c r="Z874" i="8" s="1"/>
  <c r="V875" i="8"/>
  <c r="AB875" i="8" s="1"/>
  <c r="V878" i="8"/>
  <c r="AB878" i="8" s="1"/>
  <c r="U867" i="8"/>
  <c r="AA867" i="8" s="1"/>
  <c r="T869" i="8"/>
  <c r="Z869" i="8" s="1"/>
  <c r="T872" i="8"/>
  <c r="Z872" i="8" s="1"/>
  <c r="V874" i="8"/>
  <c r="AB874" i="8" s="1"/>
  <c r="U879" i="8"/>
  <c r="AA879" i="8" s="1"/>
  <c r="T865" i="8"/>
  <c r="Z865" i="8" s="1"/>
  <c r="V867" i="8"/>
  <c r="AB867" i="8" s="1"/>
  <c r="U869" i="8"/>
  <c r="AA869" i="8" s="1"/>
  <c r="U872" i="8"/>
  <c r="AA872" i="8" s="1"/>
  <c r="T877" i="8"/>
  <c r="Z877" i="8" s="1"/>
  <c r="V879" i="8"/>
  <c r="AB879" i="8" s="1"/>
  <c r="U865" i="8"/>
  <c r="AA865" i="8" s="1"/>
  <c r="T868" i="8"/>
  <c r="Z868" i="8" s="1"/>
  <c r="V869" i="8"/>
  <c r="AB869" i="8" s="1"/>
  <c r="V872" i="8"/>
  <c r="AB872" i="8" s="1"/>
  <c r="U877" i="8"/>
  <c r="AA877" i="8" s="1"/>
  <c r="T880" i="8"/>
  <c r="Z880" i="8" s="1"/>
  <c r="V865" i="8"/>
  <c r="AB865" i="8" s="1"/>
  <c r="U868" i="8"/>
  <c r="AA868" i="8" s="1"/>
  <c r="T873" i="8"/>
  <c r="Z873" i="8" s="1"/>
  <c r="V877" i="8"/>
  <c r="AB877" i="8" s="1"/>
  <c r="U880" i="8"/>
  <c r="AA880" i="8" s="1"/>
  <c r="T863" i="8"/>
  <c r="Z863" i="8" s="1"/>
  <c r="T866" i="8"/>
  <c r="Z866" i="8" s="1"/>
  <c r="U873" i="8"/>
  <c r="AA873" i="8" s="1"/>
  <c r="T875" i="8"/>
  <c r="Z875" i="8" s="1"/>
  <c r="T878" i="8"/>
  <c r="Z878" i="8" s="1"/>
  <c r="V880" i="8"/>
  <c r="AB880" i="8" s="1"/>
  <c r="T871" i="8"/>
  <c r="Z871" i="8" s="1"/>
  <c r="V798" i="8"/>
  <c r="AB798" i="8" s="1"/>
  <c r="U800" i="8"/>
  <c r="AA800" i="8" s="1"/>
  <c r="T796" i="8"/>
  <c r="Z796" i="8" s="1"/>
  <c r="U796" i="8"/>
  <c r="AA796" i="8" s="1"/>
  <c r="U801" i="8"/>
  <c r="AA801" i="8" s="1"/>
  <c r="V801" i="8"/>
  <c r="AB801" i="8" s="1"/>
  <c r="V790" i="8"/>
  <c r="AB790" i="8" s="1"/>
  <c r="V793" i="8"/>
  <c r="AB793" i="8" s="1"/>
  <c r="U798" i="8"/>
  <c r="AA798" i="8" s="1"/>
  <c r="T801" i="8"/>
  <c r="Z801" i="8" s="1"/>
  <c r="V802" i="8"/>
  <c r="AB802" i="8" s="1"/>
  <c r="V805" i="8"/>
  <c r="AB805" i="8" s="1"/>
  <c r="T792" i="8"/>
  <c r="Z792" i="8" s="1"/>
  <c r="V794" i="8"/>
  <c r="AB794" i="8" s="1"/>
  <c r="AE796" i="8"/>
  <c r="AE856" i="8" s="1"/>
  <c r="U799" i="8"/>
  <c r="AA799" i="8" s="1"/>
  <c r="T804" i="8"/>
  <c r="Z804" i="8" s="1"/>
  <c r="V806" i="8"/>
  <c r="AB806" i="8" s="1"/>
  <c r="U792" i="8"/>
  <c r="AA792" i="8" s="1"/>
  <c r="T795" i="8"/>
  <c r="Z795" i="8" s="1"/>
  <c r="V796" i="8"/>
  <c r="AB796" i="8" s="1"/>
  <c r="V799" i="8"/>
  <c r="AB799" i="8" s="1"/>
  <c r="U804" i="8"/>
  <c r="AA804" i="8" s="1"/>
  <c r="T807" i="8"/>
  <c r="Z807" i="8" s="1"/>
  <c r="V792" i="8"/>
  <c r="AB792" i="8" s="1"/>
  <c r="U795" i="8"/>
  <c r="AA795" i="8" s="1"/>
  <c r="T800" i="8"/>
  <c r="Z800" i="8" s="1"/>
  <c r="V804" i="8"/>
  <c r="AB804" i="8" s="1"/>
  <c r="U807" i="8"/>
  <c r="AA807" i="8" s="1"/>
  <c r="U790" i="8"/>
  <c r="AA790" i="8" s="1"/>
  <c r="T798" i="8"/>
  <c r="Z798" i="8" s="1"/>
  <c r="U802" i="8"/>
  <c r="AA802" i="8" s="1"/>
  <c r="V707" i="8"/>
  <c r="AB707" i="8" s="1"/>
  <c r="U705" i="8"/>
  <c r="AA705" i="8" s="1"/>
  <c r="U710" i="8"/>
  <c r="AA710" i="8" s="1"/>
  <c r="T708" i="8"/>
  <c r="Z708" i="8" s="1"/>
  <c r="V710" i="8"/>
  <c r="AB710" i="8" s="1"/>
  <c r="AB709" i="8"/>
  <c r="U709" i="8"/>
  <c r="AA709" i="8" s="1"/>
  <c r="V699" i="8"/>
  <c r="AB699" i="8" s="1"/>
  <c r="V702" i="8"/>
  <c r="AB702" i="8" s="1"/>
  <c r="U707" i="8"/>
  <c r="AA707" i="8" s="1"/>
  <c r="T710" i="8"/>
  <c r="Z710" i="8" s="1"/>
  <c r="V711" i="8"/>
  <c r="AB711" i="8" s="1"/>
  <c r="V714" i="8"/>
  <c r="AB714" i="8" s="1"/>
  <c r="T701" i="8"/>
  <c r="Z701" i="8" s="1"/>
  <c r="V703" i="8"/>
  <c r="AB703" i="8" s="1"/>
  <c r="AE705" i="8"/>
  <c r="AE783" i="8" s="1"/>
  <c r="U708" i="8"/>
  <c r="AA708" i="8" s="1"/>
  <c r="T713" i="8"/>
  <c r="Z713" i="8" s="1"/>
  <c r="V715" i="8"/>
  <c r="AB715" i="8" s="1"/>
  <c r="U701" i="8"/>
  <c r="AA701" i="8" s="1"/>
  <c r="T704" i="8"/>
  <c r="Z704" i="8" s="1"/>
  <c r="V705" i="8"/>
  <c r="AB705" i="8" s="1"/>
  <c r="V708" i="8"/>
  <c r="AB708" i="8" s="1"/>
  <c r="U713" i="8"/>
  <c r="AA713" i="8" s="1"/>
  <c r="T716" i="8"/>
  <c r="Z716" i="8" s="1"/>
  <c r="V701" i="8"/>
  <c r="AB701" i="8" s="1"/>
  <c r="U704" i="8"/>
  <c r="AA704" i="8" s="1"/>
  <c r="T709" i="8"/>
  <c r="Z709" i="8" s="1"/>
  <c r="V713" i="8"/>
  <c r="AB713" i="8" s="1"/>
  <c r="U716" i="8"/>
  <c r="AA716" i="8" s="1"/>
  <c r="U699" i="8"/>
  <c r="AA699" i="8" s="1"/>
  <c r="T707" i="8"/>
  <c r="Z707" i="8" s="1"/>
  <c r="U711" i="8"/>
  <c r="AA711" i="8" s="1"/>
  <c r="U637" i="8"/>
  <c r="AA637" i="8" s="1"/>
  <c r="U629" i="8"/>
  <c r="AA629" i="8" s="1"/>
  <c r="V626" i="8"/>
  <c r="AB626" i="8" s="1"/>
  <c r="V629" i="8"/>
  <c r="AB629" i="8" s="1"/>
  <c r="U634" i="8"/>
  <c r="AA634" i="8" s="1"/>
  <c r="T637" i="8"/>
  <c r="Z637" i="8" s="1"/>
  <c r="V638" i="8"/>
  <c r="AB638" i="8" s="1"/>
  <c r="V641" i="8"/>
  <c r="AB641" i="8" s="1"/>
  <c r="U630" i="8"/>
  <c r="AA630" i="8" s="1"/>
  <c r="T632" i="8"/>
  <c r="Z632" i="8" s="1"/>
  <c r="T635" i="8"/>
  <c r="Z635" i="8" s="1"/>
  <c r="V637" i="8"/>
  <c r="AB637" i="8" s="1"/>
  <c r="U642" i="8"/>
  <c r="AA642" i="8" s="1"/>
  <c r="T628" i="8"/>
  <c r="Z628" i="8" s="1"/>
  <c r="V630" i="8"/>
  <c r="AB630" i="8" s="1"/>
  <c r="AE632" i="8"/>
  <c r="U635" i="8"/>
  <c r="AA635" i="8" s="1"/>
  <c r="T640" i="8"/>
  <c r="Z640" i="8" s="1"/>
  <c r="V642" i="8"/>
  <c r="AB642" i="8" s="1"/>
  <c r="U628" i="8"/>
  <c r="AA628" i="8" s="1"/>
  <c r="T631" i="8"/>
  <c r="Z631" i="8" s="1"/>
  <c r="V632" i="8"/>
  <c r="AB632" i="8" s="1"/>
  <c r="V635" i="8"/>
  <c r="AB635" i="8" s="1"/>
  <c r="U640" i="8"/>
  <c r="AA640" i="8" s="1"/>
  <c r="T643" i="8"/>
  <c r="Z643" i="8" s="1"/>
  <c r="V628" i="8"/>
  <c r="AB628" i="8" s="1"/>
  <c r="U631" i="8"/>
  <c r="AA631" i="8" s="1"/>
  <c r="T636" i="8"/>
  <c r="Z636" i="8" s="1"/>
  <c r="V640" i="8"/>
  <c r="AB640" i="8" s="1"/>
  <c r="U643" i="8"/>
  <c r="AA643" i="8" s="1"/>
  <c r="T629" i="8"/>
  <c r="Z629" i="8" s="1"/>
  <c r="V631" i="8"/>
  <c r="AB631" i="8" s="1"/>
  <c r="U636" i="8"/>
  <c r="AA636" i="8" s="1"/>
  <c r="T641" i="8"/>
  <c r="Z641" i="8" s="1"/>
  <c r="V643" i="8"/>
  <c r="AB643" i="8" s="1"/>
  <c r="T634" i="8"/>
  <c r="Z634" i="8" s="1"/>
  <c r="U638" i="8"/>
  <c r="AA638" i="8" s="1"/>
  <c r="V545" i="8"/>
  <c r="AB545" i="8" s="1"/>
  <c r="T543" i="8"/>
  <c r="Z543" i="8" s="1"/>
  <c r="U545" i="8"/>
  <c r="AA545" i="8" s="1"/>
  <c r="T545" i="8"/>
  <c r="Z545" i="8" s="1"/>
  <c r="V544" i="8"/>
  <c r="AB544" i="8" s="1"/>
  <c r="V541" i="8"/>
  <c r="AB541" i="8" s="1"/>
  <c r="U543" i="8"/>
  <c r="AA543" i="8" s="1"/>
  <c r="U544" i="8"/>
  <c r="AA544" i="8" s="1"/>
  <c r="U541" i="8"/>
  <c r="AA541" i="8" s="1"/>
  <c r="T546" i="8"/>
  <c r="Z546" i="8" s="1"/>
  <c r="V546" i="8"/>
  <c r="AB546" i="8" s="1"/>
  <c r="T544" i="8"/>
  <c r="Z544" i="8" s="1"/>
  <c r="T541" i="8"/>
  <c r="Z541" i="8" s="1"/>
  <c r="U546" i="8"/>
  <c r="AA546" i="8" s="1"/>
  <c r="V543" i="8"/>
  <c r="AB543" i="8" s="1"/>
  <c r="AE536" i="8"/>
  <c r="T539" i="8"/>
  <c r="Z539" i="8" s="1"/>
  <c r="AE548" i="8"/>
  <c r="T551" i="8"/>
  <c r="Z551" i="8" s="1"/>
  <c r="U539" i="8"/>
  <c r="AA539" i="8" s="1"/>
  <c r="U551" i="8"/>
  <c r="AA551" i="8" s="1"/>
  <c r="T537" i="8"/>
  <c r="Z537" i="8" s="1"/>
  <c r="V539" i="8"/>
  <c r="AB539" i="8" s="1"/>
  <c r="T549" i="8"/>
  <c r="Z549" i="8" s="1"/>
  <c r="V551" i="8"/>
  <c r="AB551" i="8" s="1"/>
  <c r="U537" i="8"/>
  <c r="AA537" i="8" s="1"/>
  <c r="T540" i="8"/>
  <c r="Z540" i="8" s="1"/>
  <c r="U549" i="8"/>
  <c r="AA549" i="8" s="1"/>
  <c r="T552" i="8"/>
  <c r="Z552" i="8" s="1"/>
  <c r="V537" i="8"/>
  <c r="AB537" i="8" s="1"/>
  <c r="U540" i="8"/>
  <c r="AA540" i="8" s="1"/>
  <c r="V549" i="8"/>
  <c r="AB549" i="8" s="1"/>
  <c r="U552" i="8"/>
  <c r="AA552" i="8" s="1"/>
  <c r="T535" i="8"/>
  <c r="Z535" i="8" s="1"/>
  <c r="T538" i="8"/>
  <c r="Z538" i="8" s="1"/>
  <c r="V540" i="8"/>
  <c r="AB540" i="8" s="1"/>
  <c r="T547" i="8"/>
  <c r="Z547" i="8" s="1"/>
  <c r="T550" i="8"/>
  <c r="Z550" i="8" s="1"/>
  <c r="V552" i="8"/>
  <c r="AB552" i="8" s="1"/>
  <c r="U535" i="8"/>
  <c r="AA535" i="8" s="1"/>
  <c r="U547" i="8"/>
  <c r="AA547" i="8" s="1"/>
  <c r="V381" i="8"/>
  <c r="AB381" i="8" s="1"/>
  <c r="U382" i="8"/>
  <c r="AA382" i="8" s="1"/>
  <c r="V470" i="8"/>
  <c r="AB470" i="8" s="1"/>
  <c r="U472" i="8"/>
  <c r="AA472" i="8" s="1"/>
  <c r="T468" i="8"/>
  <c r="Z468" i="8" s="1"/>
  <c r="U468" i="8"/>
  <c r="AA468" i="8" s="1"/>
  <c r="T471" i="8"/>
  <c r="Z471" i="8" s="1"/>
  <c r="V462" i="8"/>
  <c r="AB462" i="8" s="1"/>
  <c r="V465" i="8"/>
  <c r="AB465" i="8" s="1"/>
  <c r="U470" i="8"/>
  <c r="AA470" i="8" s="1"/>
  <c r="T473" i="8"/>
  <c r="Z473" i="8" s="1"/>
  <c r="V474" i="8"/>
  <c r="AB474" i="8" s="1"/>
  <c r="V477" i="8"/>
  <c r="AB477" i="8" s="1"/>
  <c r="V473" i="8"/>
  <c r="AB473" i="8" s="1"/>
  <c r="U478" i="8"/>
  <c r="AA478" i="8" s="1"/>
  <c r="T464" i="8"/>
  <c r="Z464" i="8" s="1"/>
  <c r="V466" i="8"/>
  <c r="AB466" i="8" s="1"/>
  <c r="AE468" i="8"/>
  <c r="AE528" i="8" s="1"/>
  <c r="U471" i="8"/>
  <c r="AA471" i="8" s="1"/>
  <c r="T476" i="8"/>
  <c r="Z476" i="8" s="1"/>
  <c r="V478" i="8"/>
  <c r="AB478" i="8" s="1"/>
  <c r="U464" i="8"/>
  <c r="AA464" i="8" s="1"/>
  <c r="T467" i="8"/>
  <c r="Z467" i="8" s="1"/>
  <c r="V468" i="8"/>
  <c r="AB468" i="8" s="1"/>
  <c r="V471" i="8"/>
  <c r="AB471" i="8" s="1"/>
  <c r="U476" i="8"/>
  <c r="AA476" i="8" s="1"/>
  <c r="T479" i="8"/>
  <c r="Z479" i="8" s="1"/>
  <c r="V464" i="8"/>
  <c r="AB464" i="8" s="1"/>
  <c r="U467" i="8"/>
  <c r="AA467" i="8" s="1"/>
  <c r="T472" i="8"/>
  <c r="Z472" i="8" s="1"/>
  <c r="V476" i="8"/>
  <c r="AB476" i="8" s="1"/>
  <c r="U479" i="8"/>
  <c r="AA479" i="8" s="1"/>
  <c r="U462" i="8"/>
  <c r="AA462" i="8" s="1"/>
  <c r="T470" i="8"/>
  <c r="Z470" i="8" s="1"/>
  <c r="U474" i="8"/>
  <c r="AA474" i="8" s="1"/>
  <c r="U377" i="8"/>
  <c r="AA377" i="8" s="1"/>
  <c r="V379" i="8"/>
  <c r="AB379" i="8" s="1"/>
  <c r="V371" i="8"/>
  <c r="AB371" i="8" s="1"/>
  <c r="V374" i="8"/>
  <c r="AB374" i="8" s="1"/>
  <c r="U379" i="8"/>
  <c r="AA379" i="8" s="1"/>
  <c r="T382" i="8"/>
  <c r="Z382" i="8" s="1"/>
  <c r="V383" i="8"/>
  <c r="AB383" i="8" s="1"/>
  <c r="V386" i="8"/>
  <c r="AB386" i="8" s="1"/>
  <c r="U375" i="8"/>
  <c r="AA375" i="8" s="1"/>
  <c r="T377" i="8"/>
  <c r="Z377" i="8" s="1"/>
  <c r="T380" i="8"/>
  <c r="Z380" i="8" s="1"/>
  <c r="V382" i="8"/>
  <c r="AB382" i="8" s="1"/>
  <c r="U387" i="8"/>
  <c r="AA387" i="8" s="1"/>
  <c r="T373" i="8"/>
  <c r="Z373" i="8" s="1"/>
  <c r="V375" i="8"/>
  <c r="AB375" i="8" s="1"/>
  <c r="U380" i="8"/>
  <c r="AA380" i="8" s="1"/>
  <c r="T385" i="8"/>
  <c r="Z385" i="8" s="1"/>
  <c r="V387" i="8"/>
  <c r="AB387" i="8" s="1"/>
  <c r="U373" i="8"/>
  <c r="AA373" i="8" s="1"/>
  <c r="T376" i="8"/>
  <c r="Z376" i="8" s="1"/>
  <c r="V377" i="8"/>
  <c r="AB377" i="8" s="1"/>
  <c r="V380" i="8"/>
  <c r="AB380" i="8" s="1"/>
  <c r="U385" i="8"/>
  <c r="AA385" i="8" s="1"/>
  <c r="T388" i="8"/>
  <c r="Z388" i="8" s="1"/>
  <c r="V373" i="8"/>
  <c r="AB373" i="8" s="1"/>
  <c r="U376" i="8"/>
  <c r="AA376" i="8" s="1"/>
  <c r="T381" i="8"/>
  <c r="Z381" i="8" s="1"/>
  <c r="V385" i="8"/>
  <c r="AB385" i="8" s="1"/>
  <c r="U388" i="8"/>
  <c r="AA388" i="8" s="1"/>
  <c r="T371" i="8"/>
  <c r="Z371" i="8" s="1"/>
  <c r="T374" i="8"/>
  <c r="Z374" i="8" s="1"/>
  <c r="V376" i="8"/>
  <c r="AB376" i="8" s="1"/>
  <c r="U381" i="8"/>
  <c r="AA381" i="8" s="1"/>
  <c r="T383" i="8"/>
  <c r="Z383" i="8" s="1"/>
  <c r="T386" i="8"/>
  <c r="Z386" i="8" s="1"/>
  <c r="V388" i="8"/>
  <c r="AB388" i="8" s="1"/>
  <c r="U371" i="8"/>
  <c r="AA371" i="8" s="1"/>
  <c r="T379" i="8"/>
  <c r="Z379" i="8" s="1"/>
  <c r="U383" i="8"/>
  <c r="AA383" i="8" s="1"/>
  <c r="AB278" i="8"/>
  <c r="V268" i="8"/>
  <c r="AB268" i="8" s="1"/>
  <c r="V271" i="8"/>
  <c r="AB271" i="8" s="1"/>
  <c r="U276" i="8"/>
  <c r="AA276" i="8" s="1"/>
  <c r="T279" i="8"/>
  <c r="Z279" i="8" s="1"/>
  <c r="V280" i="8"/>
  <c r="AB280" i="8" s="1"/>
  <c r="V283" i="8"/>
  <c r="AB283" i="8" s="1"/>
  <c r="U272" i="8"/>
  <c r="AA272" i="8" s="1"/>
  <c r="T274" i="8"/>
  <c r="Z274" i="8" s="1"/>
  <c r="T277" i="8"/>
  <c r="Z277" i="8" s="1"/>
  <c r="V279" i="8"/>
  <c r="AB279" i="8" s="1"/>
  <c r="U284" i="8"/>
  <c r="AA284" i="8" s="1"/>
  <c r="V272" i="8"/>
  <c r="AB272" i="8" s="1"/>
  <c r="T282" i="8"/>
  <c r="Z282" i="8" s="1"/>
  <c r="V284" i="8"/>
  <c r="AB284" i="8" s="1"/>
  <c r="AE274" i="8"/>
  <c r="U270" i="8"/>
  <c r="AA270" i="8" s="1"/>
  <c r="T273" i="8"/>
  <c r="Z273" i="8" s="1"/>
  <c r="V274" i="8"/>
  <c r="AB274" i="8" s="1"/>
  <c r="V277" i="8"/>
  <c r="AB277" i="8" s="1"/>
  <c r="U282" i="8"/>
  <c r="AA282" i="8" s="1"/>
  <c r="T285" i="8"/>
  <c r="Z285" i="8" s="1"/>
  <c r="T270" i="8"/>
  <c r="Z270" i="8" s="1"/>
  <c r="V270" i="8"/>
  <c r="AB270" i="8" s="1"/>
  <c r="U273" i="8"/>
  <c r="AA273" i="8" s="1"/>
  <c r="T278" i="8"/>
  <c r="Z278" i="8" s="1"/>
  <c r="V282" i="8"/>
  <c r="AB282" i="8" s="1"/>
  <c r="U285" i="8"/>
  <c r="AA285" i="8" s="1"/>
  <c r="U268" i="8"/>
  <c r="AA268" i="8" s="1"/>
  <c r="T276" i="8"/>
  <c r="Z276" i="8" s="1"/>
  <c r="U280" i="8"/>
  <c r="AA280" i="8" s="1"/>
  <c r="V163" i="8"/>
  <c r="AB163" i="8" s="1"/>
  <c r="T161" i="8"/>
  <c r="Z161" i="8" s="1"/>
  <c r="U163" i="8"/>
  <c r="AA163" i="8" s="1"/>
  <c r="T163" i="8"/>
  <c r="Z163" i="8" s="1"/>
  <c r="V162" i="8"/>
  <c r="AB162" i="8" s="1"/>
  <c r="V159" i="8"/>
  <c r="AB159" i="8" s="1"/>
  <c r="T164" i="8"/>
  <c r="Z164" i="8" s="1"/>
  <c r="U162" i="8"/>
  <c r="AA162" i="8" s="1"/>
  <c r="U159" i="8"/>
  <c r="AA159" i="8" s="1"/>
  <c r="V164" i="8"/>
  <c r="AB164" i="8" s="1"/>
  <c r="T162" i="8"/>
  <c r="Z162" i="8" s="1"/>
  <c r="T159" i="8"/>
  <c r="Z159" i="8" s="1"/>
  <c r="U161" i="8"/>
  <c r="AA161" i="8" s="1"/>
  <c r="U164" i="8"/>
  <c r="AA164" i="8" s="1"/>
  <c r="V161" i="8"/>
  <c r="AB161" i="8" s="1"/>
  <c r="T157" i="8"/>
  <c r="Z157" i="8" s="1"/>
  <c r="T169" i="8"/>
  <c r="Z169" i="8" s="1"/>
  <c r="U157" i="8"/>
  <c r="AA157" i="8" s="1"/>
  <c r="U169" i="8"/>
  <c r="AA169" i="8" s="1"/>
  <c r="V157" i="8"/>
  <c r="AB157" i="8" s="1"/>
  <c r="AE159" i="8"/>
  <c r="T167" i="8"/>
  <c r="Z167" i="8" s="1"/>
  <c r="V169" i="8"/>
  <c r="AB169" i="8" s="1"/>
  <c r="T155" i="8"/>
  <c r="Z155" i="8" s="1"/>
  <c r="T158" i="8"/>
  <c r="Z158" i="8" s="1"/>
  <c r="U167" i="8"/>
  <c r="AA167" i="8" s="1"/>
  <c r="T170" i="8"/>
  <c r="Z170" i="8" s="1"/>
  <c r="U155" i="8"/>
  <c r="AA155" i="8" s="1"/>
  <c r="V155" i="8"/>
  <c r="AB155" i="8" s="1"/>
  <c r="V167" i="8"/>
  <c r="AB167" i="8" s="1"/>
  <c r="U170" i="8"/>
  <c r="AA170" i="8" s="1"/>
  <c r="V170" i="8"/>
  <c r="AB170" i="8" s="1"/>
  <c r="U54" i="8"/>
  <c r="AA54" i="8" s="1"/>
  <c r="V65" i="8"/>
  <c r="AB65" i="8" s="1"/>
  <c r="U50" i="8"/>
  <c r="AA50" i="8" s="1"/>
  <c r="V53" i="8"/>
  <c r="AB53" i="8" s="1"/>
  <c r="T50" i="8"/>
  <c r="Z50" i="8" s="1"/>
  <c r="T53" i="8"/>
  <c r="Z53" i="8" s="1"/>
  <c r="V50" i="8"/>
  <c r="AB50" i="8" s="1"/>
  <c r="AA53" i="8"/>
  <c r="V60" i="8"/>
  <c r="AB60" i="8" s="1"/>
  <c r="T58" i="8"/>
  <c r="Z58" i="8" s="1"/>
  <c r="U60" i="8"/>
  <c r="AA60" i="8" s="1"/>
  <c r="U58" i="8"/>
  <c r="AA58" i="8" s="1"/>
  <c r="T60" i="8"/>
  <c r="Z60" i="8" s="1"/>
  <c r="U56" i="8"/>
  <c r="AA56" i="8" s="1"/>
  <c r="V59" i="8"/>
  <c r="AB59" i="8" s="1"/>
  <c r="V56" i="8"/>
  <c r="AB56" i="8" s="1"/>
  <c r="T61" i="8"/>
  <c r="Z61" i="8" s="1"/>
  <c r="U59" i="8"/>
  <c r="AA59" i="8" s="1"/>
  <c r="V61" i="8"/>
  <c r="AB61" i="8" s="1"/>
  <c r="T59" i="8"/>
  <c r="Z59" i="8" s="1"/>
  <c r="T56" i="8"/>
  <c r="Z56" i="8" s="1"/>
  <c r="U61" i="8"/>
  <c r="AA61" i="8" s="1"/>
  <c r="V58" i="8"/>
  <c r="AB58" i="8" s="1"/>
  <c r="AE51" i="8"/>
  <c r="T54" i="8"/>
  <c r="Z54" i="8" s="1"/>
  <c r="AE63" i="8"/>
  <c r="T66" i="8"/>
  <c r="Z66" i="8" s="1"/>
  <c r="U66" i="8"/>
  <c r="AA66" i="8" s="1"/>
  <c r="T64" i="8"/>
  <c r="Z64" i="8" s="1"/>
  <c r="V66" i="8"/>
  <c r="AB66" i="8" s="1"/>
  <c r="T52" i="8"/>
  <c r="Z52" i="8" s="1"/>
  <c r="U52" i="8"/>
  <c r="AA52" i="8" s="1"/>
  <c r="T55" i="8"/>
  <c r="Z55" i="8" s="1"/>
  <c r="U64" i="8"/>
  <c r="AA64" i="8" s="1"/>
  <c r="T67" i="8"/>
  <c r="Z67" i="8" s="1"/>
  <c r="V54" i="8"/>
  <c r="AB54" i="8" s="1"/>
  <c r="AE56" i="8"/>
  <c r="AE146" i="8" s="1"/>
  <c r="V52" i="8"/>
  <c r="AB52" i="8" s="1"/>
  <c r="U55" i="8"/>
  <c r="AA55" i="8" s="1"/>
  <c r="V64" i="8"/>
  <c r="AB64" i="8" s="1"/>
  <c r="U67" i="8"/>
  <c r="AA67" i="8" s="1"/>
  <c r="V55" i="8"/>
  <c r="AB55" i="8" s="1"/>
  <c r="T62" i="8"/>
  <c r="Z62" i="8" s="1"/>
  <c r="T65" i="8"/>
  <c r="Z65" i="8" s="1"/>
  <c r="V67" i="8"/>
  <c r="AB67" i="8" s="1"/>
  <c r="U62" i="8"/>
  <c r="AA62" i="8" s="1"/>
  <c r="AE1008" i="8" l="1"/>
  <c r="AB137" i="23" s="1"/>
  <c r="R137" i="23"/>
  <c r="R153" i="23" s="1"/>
  <c r="F137" i="23"/>
  <c r="P137" i="23"/>
  <c r="P153" i="23" s="1"/>
  <c r="AG1013" i="8"/>
  <c r="AB144" i="23" s="1"/>
  <c r="AD137" i="23"/>
  <c r="AD153" i="23" s="1"/>
  <c r="AH137" i="23"/>
  <c r="AG1208" i="8"/>
  <c r="AH144" i="23" s="1"/>
  <c r="N137" i="23"/>
  <c r="N153" i="23" s="1"/>
  <c r="V137" i="23"/>
  <c r="V153" i="23" s="1"/>
  <c r="X137" i="23"/>
  <c r="AG861" i="8"/>
  <c r="X144" i="23" s="1"/>
  <c r="AE917" i="8"/>
  <c r="AE1142" i="8"/>
  <c r="AE1082" i="8"/>
  <c r="AD138" i="23" s="1"/>
  <c r="AD154" i="23" s="1"/>
  <c r="AE620" i="8"/>
  <c r="R138" i="23" s="1"/>
  <c r="R154" i="23" s="1"/>
  <c r="AE784" i="8"/>
  <c r="V138" i="23" s="1"/>
  <c r="V154" i="23" s="1"/>
  <c r="AE692" i="8"/>
  <c r="AE529" i="8"/>
  <c r="P138" i="23" s="1"/>
  <c r="P154" i="23" s="1"/>
  <c r="AE456" i="8"/>
  <c r="N138" i="23" s="1"/>
  <c r="N154" i="23" s="1"/>
  <c r="AE364" i="8"/>
  <c r="AE261" i="8"/>
  <c r="AE147" i="8"/>
  <c r="F138" i="23" s="1"/>
  <c r="F154" i="23" s="1"/>
  <c r="AF794" i="8"/>
  <c r="AF158" i="8"/>
  <c r="AF641" i="8"/>
  <c r="AF465" i="8"/>
  <c r="AF791" i="8"/>
  <c r="AF156" i="8"/>
  <c r="AF272" i="8"/>
  <c r="AF68" i="8"/>
  <c r="AF276" i="8"/>
  <c r="AF703" i="8"/>
  <c r="AF271" i="8"/>
  <c r="AF470" i="8"/>
  <c r="AF626" i="8"/>
  <c r="AF793" i="8"/>
  <c r="AF278" i="8"/>
  <c r="AF629" i="8"/>
  <c r="AF871" i="8"/>
  <c r="AF928" i="8"/>
  <c r="AF1153" i="8"/>
  <c r="AF477" i="8"/>
  <c r="AF53" i="8"/>
  <c r="AF702" i="8"/>
  <c r="AF1017" i="8"/>
  <c r="AF934" i="8"/>
  <c r="AF463" i="8"/>
  <c r="AF73" i="8"/>
  <c r="AF627" i="8"/>
  <c r="AF466" i="8"/>
  <c r="AF71" i="8"/>
  <c r="AF72" i="8"/>
  <c r="AF50" i="8"/>
  <c r="AF379" i="8"/>
  <c r="AF867" i="8"/>
  <c r="AF270" i="8"/>
  <c r="AF376" i="8"/>
  <c r="AF1090" i="8"/>
  <c r="AF715" i="8"/>
  <c r="AF268" i="8"/>
  <c r="AF375" i="8"/>
  <c r="AF1091" i="8"/>
  <c r="AF700" i="8"/>
  <c r="AF806" i="8"/>
  <c r="AF153" i="8"/>
  <c r="AF70" i="8"/>
  <c r="AF69" i="8"/>
  <c r="AF699" i="8"/>
  <c r="AF714" i="8"/>
  <c r="AF630" i="8"/>
  <c r="AF154" i="8"/>
  <c r="AF273" i="8"/>
  <c r="AF464" i="8"/>
  <c r="AF462" i="8"/>
  <c r="AF269" i="8"/>
  <c r="AF467" i="8"/>
  <c r="AF639" i="8"/>
  <c r="AF631" i="8"/>
  <c r="AF642" i="8"/>
  <c r="AF709" i="8"/>
  <c r="AF866" i="8"/>
  <c r="AF1021" i="8"/>
  <c r="AF1032" i="8"/>
  <c r="AF1092" i="8"/>
  <c r="AF472" i="8"/>
  <c r="AF799" i="8"/>
  <c r="AF1099" i="8"/>
  <c r="AF373" i="8"/>
  <c r="AF538" i="8"/>
  <c r="AF540" i="8"/>
  <c r="AF545" i="8"/>
  <c r="AF865" i="8"/>
  <c r="AF166" i="8"/>
  <c r="AF282" i="8"/>
  <c r="AF387" i="8"/>
  <c r="AF712" i="8"/>
  <c r="AF1165" i="8"/>
  <c r="AF1164" i="8"/>
  <c r="AF1163" i="8"/>
  <c r="AF1157" i="8"/>
  <c r="AF1102" i="8"/>
  <c r="AF1103" i="8"/>
  <c r="AF1098" i="8"/>
  <c r="AF1022" i="8"/>
  <c r="AF932" i="8"/>
  <c r="AF879" i="8"/>
  <c r="AF874" i="8"/>
  <c r="AF872" i="8"/>
  <c r="AF800" i="8"/>
  <c r="AF801" i="8"/>
  <c r="AF707" i="8"/>
  <c r="AF708" i="8"/>
  <c r="AF706" i="8"/>
  <c r="AF640" i="8"/>
  <c r="AF550" i="8"/>
  <c r="AF544" i="8"/>
  <c r="AF473" i="8"/>
  <c r="AF471" i="8"/>
  <c r="AF381" i="8"/>
  <c r="AF283" i="8"/>
  <c r="AF165" i="8"/>
  <c r="AF65" i="8"/>
  <c r="AF60" i="8"/>
  <c r="AF1029" i="8"/>
  <c r="AF940" i="8"/>
  <c r="AF941" i="8"/>
  <c r="AF878" i="8"/>
  <c r="AF803" i="8"/>
  <c r="AF805" i="8"/>
  <c r="AF802" i="8"/>
  <c r="AF804" i="8"/>
  <c r="AF552" i="8"/>
  <c r="AF478" i="8"/>
  <c r="AF475" i="8"/>
  <c r="AF386" i="8"/>
  <c r="AF281" i="8"/>
  <c r="AF284" i="8"/>
  <c r="AF168" i="8"/>
  <c r="AF1152" i="8"/>
  <c r="AF1151" i="8"/>
  <c r="AF1160" i="8"/>
  <c r="AF1154" i="8"/>
  <c r="AF1159" i="8"/>
  <c r="AF1162" i="8"/>
  <c r="AF1161" i="8"/>
  <c r="AF1158" i="8"/>
  <c r="AF1156" i="8"/>
  <c r="AF1155" i="8"/>
  <c r="AF1150" i="8"/>
  <c r="AF1149" i="8"/>
  <c r="AF1166" i="8"/>
  <c r="AF1096" i="8"/>
  <c r="AF1089" i="8"/>
  <c r="AF1088" i="8"/>
  <c r="AF1101" i="8"/>
  <c r="AF1100" i="8"/>
  <c r="AF1104" i="8"/>
  <c r="AF1105" i="8"/>
  <c r="AF1093" i="8"/>
  <c r="AF1097" i="8"/>
  <c r="AF1095" i="8"/>
  <c r="AF1094" i="8"/>
  <c r="AF1023" i="8"/>
  <c r="AF1018" i="8"/>
  <c r="AF1028" i="8"/>
  <c r="AF1027" i="8"/>
  <c r="AF1024" i="8"/>
  <c r="AF1030" i="8"/>
  <c r="AF1019" i="8"/>
  <c r="AF1025" i="8"/>
  <c r="AF1026" i="8"/>
  <c r="AF1020" i="8"/>
  <c r="AF1031" i="8"/>
  <c r="AF1016" i="8"/>
  <c r="AF1015" i="8"/>
  <c r="AF935" i="8"/>
  <c r="AF933" i="8"/>
  <c r="AF925" i="8"/>
  <c r="AF924" i="8"/>
  <c r="AF927" i="8"/>
  <c r="AF926" i="8"/>
  <c r="AF937" i="8"/>
  <c r="AF936" i="8"/>
  <c r="AF938" i="8"/>
  <c r="AF939" i="8"/>
  <c r="AF931" i="8"/>
  <c r="AF930" i="8"/>
  <c r="AF929" i="8"/>
  <c r="AF873" i="8"/>
  <c r="AF876" i="8"/>
  <c r="AF875" i="8"/>
  <c r="AF877" i="8"/>
  <c r="AF870" i="8"/>
  <c r="AF869" i="8"/>
  <c r="AF880" i="8"/>
  <c r="AF864" i="8"/>
  <c r="AF863" i="8"/>
  <c r="AF868" i="8"/>
  <c r="AF797" i="8"/>
  <c r="AF796" i="8"/>
  <c r="AF798" i="8"/>
  <c r="AF792" i="8"/>
  <c r="AF795" i="8"/>
  <c r="AF790" i="8"/>
  <c r="AF807" i="8"/>
  <c r="AF710" i="8"/>
  <c r="AF705" i="8"/>
  <c r="AF716" i="8"/>
  <c r="AF701" i="8"/>
  <c r="AF704" i="8"/>
  <c r="AF711" i="8"/>
  <c r="AF713" i="8"/>
  <c r="AF637" i="8"/>
  <c r="AF643" i="8"/>
  <c r="AF628" i="8"/>
  <c r="AF634" i="8"/>
  <c r="AF636" i="8"/>
  <c r="AF638" i="8"/>
  <c r="AF635" i="8"/>
  <c r="AF633" i="8"/>
  <c r="AF632" i="8"/>
  <c r="AF542" i="8"/>
  <c r="AF541" i="8"/>
  <c r="AF551" i="8"/>
  <c r="AF536" i="8"/>
  <c r="AF535" i="8"/>
  <c r="AF548" i="8"/>
  <c r="AF547" i="8"/>
  <c r="AF539" i="8"/>
  <c r="AF546" i="8"/>
  <c r="AF543" i="8"/>
  <c r="AF549" i="8"/>
  <c r="AF537" i="8"/>
  <c r="AF469" i="8"/>
  <c r="AF474" i="8"/>
  <c r="AF468" i="8"/>
  <c r="AF476" i="8"/>
  <c r="AF479" i="8"/>
  <c r="AF380" i="8"/>
  <c r="AF384" i="8"/>
  <c r="AF383" i="8"/>
  <c r="AF378" i="8"/>
  <c r="AF377" i="8"/>
  <c r="AF385" i="8"/>
  <c r="AF388" i="8"/>
  <c r="AF374" i="8"/>
  <c r="AF372" i="8"/>
  <c r="AF371" i="8"/>
  <c r="AF382" i="8"/>
  <c r="AF279" i="8"/>
  <c r="AF277" i="8"/>
  <c r="AF280" i="8"/>
  <c r="AF275" i="8"/>
  <c r="AF274" i="8"/>
  <c r="AF285" i="8"/>
  <c r="AF161" i="8"/>
  <c r="AF163" i="8"/>
  <c r="AF155" i="8"/>
  <c r="AF157" i="8"/>
  <c r="AF167" i="8"/>
  <c r="AF164" i="8"/>
  <c r="AF170" i="8"/>
  <c r="AF160" i="8"/>
  <c r="AF159" i="8"/>
  <c r="AF162" i="8"/>
  <c r="AF169" i="8"/>
  <c r="AF51" i="8"/>
  <c r="AF67" i="8"/>
  <c r="AF66" i="8"/>
  <c r="AF55" i="8"/>
  <c r="AF54" i="8"/>
  <c r="AF59" i="8"/>
  <c r="AF62" i="8"/>
  <c r="AF63" i="8"/>
  <c r="AF57" i="8"/>
  <c r="AF56" i="8"/>
  <c r="AF52" i="8"/>
  <c r="AF58" i="8"/>
  <c r="AF61" i="8"/>
  <c r="AF64" i="8"/>
  <c r="AG788" i="8" l="1"/>
  <c r="V144" i="23" s="1"/>
  <c r="X143" i="23"/>
  <c r="X145" i="23" s="1"/>
  <c r="X153" i="23"/>
  <c r="AH143" i="23"/>
  <c r="AH145" i="23" s="1"/>
  <c r="AH153" i="23"/>
  <c r="AB143" i="23"/>
  <c r="AB145" i="23" s="1"/>
  <c r="AB153" i="23"/>
  <c r="F143" i="23"/>
  <c r="T137" i="23"/>
  <c r="AG697" i="8"/>
  <c r="T144" i="23" s="1"/>
  <c r="AG369" i="8"/>
  <c r="J144" i="23" s="1"/>
  <c r="J137" i="23"/>
  <c r="J143" i="23" s="1"/>
  <c r="Z137" i="23"/>
  <c r="AG922" i="8"/>
  <c r="Z144" i="23" s="1"/>
  <c r="V143" i="23"/>
  <c r="AG151" i="8"/>
  <c r="F144" i="23" s="1"/>
  <c r="H137" i="23"/>
  <c r="AG266" i="8"/>
  <c r="H144" i="23" s="1"/>
  <c r="AF137" i="23"/>
  <c r="AG1147" i="8"/>
  <c r="AF144" i="23" s="1"/>
  <c r="AG460" i="8"/>
  <c r="N144" i="23" s="1"/>
  <c r="AG1086" i="8"/>
  <c r="AD144" i="23" s="1"/>
  <c r="P143" i="23"/>
  <c r="R143" i="23"/>
  <c r="N143" i="23"/>
  <c r="AD143" i="23"/>
  <c r="AG533" i="8"/>
  <c r="P144" i="23" s="1"/>
  <c r="AG624" i="8"/>
  <c r="R144" i="23" s="1"/>
  <c r="AF1204" i="8"/>
  <c r="AI138" i="23" s="1"/>
  <c r="AI154" i="23" s="1"/>
  <c r="AF1206" i="8"/>
  <c r="AI140" i="23" s="1"/>
  <c r="AI164" i="23" s="1"/>
  <c r="AF1147" i="8"/>
  <c r="AG142" i="23" s="1"/>
  <c r="AG158" i="23" s="1"/>
  <c r="AF1207" i="8"/>
  <c r="AI141" i="23" s="1"/>
  <c r="AI155" i="23" s="1"/>
  <c r="AF1208" i="8"/>
  <c r="AI142" i="23" s="1"/>
  <c r="AI158" i="23" s="1"/>
  <c r="AF1203" i="8"/>
  <c r="AF1205" i="8"/>
  <c r="AI139" i="23" s="1"/>
  <c r="AI156" i="23" s="1"/>
  <c r="AF1085" i="8"/>
  <c r="AE141" i="23" s="1"/>
  <c r="AE155" i="23" s="1"/>
  <c r="AF1082" i="8"/>
  <c r="AE138" i="23" s="1"/>
  <c r="AE154" i="23" s="1"/>
  <c r="AF1010" i="8"/>
  <c r="AC139" i="23" s="1"/>
  <c r="AC156" i="23" s="1"/>
  <c r="AF1142" i="8"/>
  <c r="AF1144" i="8"/>
  <c r="AG139" i="23" s="1"/>
  <c r="AG156" i="23" s="1"/>
  <c r="AF1143" i="8"/>
  <c r="AG138" i="23" s="1"/>
  <c r="AG154" i="23" s="1"/>
  <c r="AF922" i="8"/>
  <c r="AA142" i="23" s="1"/>
  <c r="AA158" i="23" s="1"/>
  <c r="AF1145" i="8"/>
  <c r="AG140" i="23" s="1"/>
  <c r="AG164" i="23" s="1"/>
  <c r="AF1146" i="8"/>
  <c r="AG141" i="23" s="1"/>
  <c r="AG155" i="23" s="1"/>
  <c r="AF1083" i="8"/>
  <c r="AE139" i="23" s="1"/>
  <c r="AE156" i="23" s="1"/>
  <c r="AF1011" i="8"/>
  <c r="AC140" i="23" s="1"/>
  <c r="AC164" i="23" s="1"/>
  <c r="AF1086" i="8"/>
  <c r="AE142" i="23" s="1"/>
  <c r="AF1084" i="8"/>
  <c r="AE140" i="23" s="1"/>
  <c r="AE164" i="23" s="1"/>
  <c r="AF858" i="8"/>
  <c r="Y139" i="23" s="1"/>
  <c r="Y156" i="23" s="1"/>
  <c r="AF1081" i="8"/>
  <c r="AF1013" i="8"/>
  <c r="AC142" i="23" s="1"/>
  <c r="AF1008" i="8"/>
  <c r="AF1009" i="8"/>
  <c r="AC138" i="23" s="1"/>
  <c r="AC154" i="23" s="1"/>
  <c r="AF1012" i="8"/>
  <c r="AC141" i="23" s="1"/>
  <c r="AC155" i="23" s="1"/>
  <c r="AF917" i="8"/>
  <c r="AF856" i="8"/>
  <c r="AF918" i="8"/>
  <c r="AA138" i="23" s="1"/>
  <c r="AA154" i="23" s="1"/>
  <c r="AF919" i="8"/>
  <c r="AA139" i="23" s="1"/>
  <c r="AA156" i="23" s="1"/>
  <c r="AF920" i="8"/>
  <c r="AA140" i="23" s="1"/>
  <c r="AA164" i="23" s="1"/>
  <c r="AF921" i="8"/>
  <c r="AA141" i="23" s="1"/>
  <c r="AA155" i="23" s="1"/>
  <c r="AF860" i="8"/>
  <c r="Y141" i="23" s="1"/>
  <c r="Y155" i="23" s="1"/>
  <c r="AF859" i="8"/>
  <c r="Y140" i="23" s="1"/>
  <c r="Y164" i="23" s="1"/>
  <c r="AF861" i="8"/>
  <c r="Y142" i="23" s="1"/>
  <c r="AF857" i="8"/>
  <c r="Y138" i="23" s="1"/>
  <c r="Y154" i="23" s="1"/>
  <c r="AF784" i="8"/>
  <c r="W138" i="23" s="1"/>
  <c r="W154" i="23" s="1"/>
  <c r="AF783" i="8"/>
  <c r="AF786" i="8"/>
  <c r="W140" i="23" s="1"/>
  <c r="W164" i="23" s="1"/>
  <c r="AF788" i="8"/>
  <c r="W142" i="23" s="1"/>
  <c r="AF785" i="8"/>
  <c r="W139" i="23" s="1"/>
  <c r="W156" i="23" s="1"/>
  <c r="AF787" i="8"/>
  <c r="W141" i="23" s="1"/>
  <c r="W155" i="23" s="1"/>
  <c r="AF694" i="8"/>
  <c r="U139" i="23" s="1"/>
  <c r="U156" i="23" s="1"/>
  <c r="AF697" i="8"/>
  <c r="U142" i="23" s="1"/>
  <c r="U158" i="23" s="1"/>
  <c r="AF696" i="8"/>
  <c r="U141" i="23" s="1"/>
  <c r="U155" i="23" s="1"/>
  <c r="AF695" i="8"/>
  <c r="U140" i="23" s="1"/>
  <c r="U164" i="23" s="1"/>
  <c r="AF623" i="8"/>
  <c r="S141" i="23" s="1"/>
  <c r="S155" i="23" s="1"/>
  <c r="AF692" i="8"/>
  <c r="AF619" i="8"/>
  <c r="AF621" i="8"/>
  <c r="S139" i="23" s="1"/>
  <c r="S156" i="23" s="1"/>
  <c r="AF620" i="8"/>
  <c r="S138" i="23" s="1"/>
  <c r="S154" i="23" s="1"/>
  <c r="AF622" i="8"/>
  <c r="S140" i="23" s="1"/>
  <c r="S164" i="23" s="1"/>
  <c r="AF693" i="8"/>
  <c r="U138" i="23" s="1"/>
  <c r="U154" i="23" s="1"/>
  <c r="AF624" i="8"/>
  <c r="S142" i="23" s="1"/>
  <c r="AF530" i="8"/>
  <c r="Q139" i="23" s="1"/>
  <c r="Q156" i="23" s="1"/>
  <c r="AF529" i="8"/>
  <c r="Q138" i="23" s="1"/>
  <c r="Q154" i="23" s="1"/>
  <c r="AF533" i="8"/>
  <c r="Q142" i="23" s="1"/>
  <c r="Q158" i="23" s="1"/>
  <c r="AF528" i="8"/>
  <c r="AF532" i="8"/>
  <c r="Q141" i="23" s="1"/>
  <c r="Q155" i="23" s="1"/>
  <c r="AF531" i="8"/>
  <c r="Q140" i="23" s="1"/>
  <c r="Q164" i="23" s="1"/>
  <c r="AF460" i="8"/>
  <c r="O142" i="23" s="1"/>
  <c r="AF455" i="8"/>
  <c r="AF457" i="8"/>
  <c r="O139" i="23" s="1"/>
  <c r="O156" i="23" s="1"/>
  <c r="AF456" i="8"/>
  <c r="O138" i="23" s="1"/>
  <c r="O154" i="23" s="1"/>
  <c r="AF458" i="8"/>
  <c r="O140" i="23" s="1"/>
  <c r="O164" i="23" s="1"/>
  <c r="AF459" i="8"/>
  <c r="O141" i="23" s="1"/>
  <c r="O155" i="23" s="1"/>
  <c r="AF265" i="8"/>
  <c r="I141" i="23" s="1"/>
  <c r="I155" i="23" s="1"/>
  <c r="AF365" i="8"/>
  <c r="K138" i="23" s="1"/>
  <c r="K154" i="23" s="1"/>
  <c r="AF367" i="8"/>
  <c r="K140" i="23" s="1"/>
  <c r="K164" i="23" s="1"/>
  <c r="AF369" i="8"/>
  <c r="K142" i="23" s="1"/>
  <c r="AF366" i="8"/>
  <c r="K139" i="23" s="1"/>
  <c r="K156" i="23" s="1"/>
  <c r="AF368" i="8"/>
  <c r="K141" i="23" s="1"/>
  <c r="K155" i="23" s="1"/>
  <c r="AF364" i="8"/>
  <c r="AF264" i="8"/>
  <c r="I140" i="23" s="1"/>
  <c r="I164" i="23" s="1"/>
  <c r="AF263" i="8"/>
  <c r="I139" i="23" s="1"/>
  <c r="I156" i="23" s="1"/>
  <c r="AF261" i="8"/>
  <c r="AF266" i="8"/>
  <c r="I142" i="23" s="1"/>
  <c r="I158" i="23" s="1"/>
  <c r="AF262" i="8"/>
  <c r="I138" i="23" s="1"/>
  <c r="I154" i="23" s="1"/>
  <c r="AF148" i="8"/>
  <c r="G139" i="23" s="1"/>
  <c r="G156" i="23" s="1"/>
  <c r="AF146" i="8"/>
  <c r="AF147" i="8"/>
  <c r="G138" i="23" s="1"/>
  <c r="G154" i="23" s="1"/>
  <c r="AF149" i="8"/>
  <c r="G140" i="23" s="1"/>
  <c r="G164" i="23" s="1"/>
  <c r="AF150" i="8"/>
  <c r="G141" i="23" s="1"/>
  <c r="G155" i="23" s="1"/>
  <c r="AF151" i="8"/>
  <c r="G142" i="23" s="1"/>
  <c r="I89" i="7"/>
  <c r="I88" i="7"/>
  <c r="I77" i="7"/>
  <c r="I76" i="7"/>
  <c r="I67" i="7"/>
  <c r="H67" i="7" s="1"/>
  <c r="I66" i="7"/>
  <c r="H66" i="7" s="1"/>
  <c r="I55" i="7"/>
  <c r="H55" i="7" s="1"/>
  <c r="I54" i="7"/>
  <c r="H54" i="7" s="1"/>
  <c r="I93" i="7"/>
  <c r="I81" i="7"/>
  <c r="I65" i="7"/>
  <c r="H65" i="7" s="1"/>
  <c r="I53" i="7"/>
  <c r="H53" i="7" s="1"/>
  <c r="I92" i="7"/>
  <c r="I80" i="7"/>
  <c r="H64" i="7"/>
  <c r="H52" i="7"/>
  <c r="AH369" i="8" l="1"/>
  <c r="AF143" i="23"/>
  <c r="AF145" i="23" s="1"/>
  <c r="AF153" i="23"/>
  <c r="H143" i="23"/>
  <c r="H153" i="23"/>
  <c r="Z143" i="23"/>
  <c r="Z145" i="23" s="1"/>
  <c r="Z153" i="23"/>
  <c r="T143" i="23"/>
  <c r="T145" i="23" s="1"/>
  <c r="T153" i="23"/>
  <c r="V145" i="23"/>
  <c r="F145" i="23"/>
  <c r="J145" i="23"/>
  <c r="N145" i="23"/>
  <c r="P145" i="23"/>
  <c r="H89" i="7"/>
  <c r="AB24" i="23" s="1"/>
  <c r="AC24" i="23"/>
  <c r="K144" i="23"/>
  <c r="K137" i="23"/>
  <c r="K143" i="23" s="1"/>
  <c r="H76" i="7"/>
  <c r="K77" i="7"/>
  <c r="W23" i="23"/>
  <c r="AH266" i="8"/>
  <c r="I144" i="23" s="1"/>
  <c r="I137" i="23"/>
  <c r="U137" i="23"/>
  <c r="AH697" i="8"/>
  <c r="U144" i="23" s="1"/>
  <c r="Y137" i="23"/>
  <c r="AH861" i="8"/>
  <c r="Y144" i="23" s="1"/>
  <c r="AH1013" i="8"/>
  <c r="AC144" i="23" s="1"/>
  <c r="AC137" i="23"/>
  <c r="AH624" i="8"/>
  <c r="S144" i="23" s="1"/>
  <c r="S137" i="23"/>
  <c r="H80" i="7"/>
  <c r="Y23" i="23"/>
  <c r="K81" i="7"/>
  <c r="H81" i="7"/>
  <c r="X24" i="23" s="1"/>
  <c r="Y24" i="23"/>
  <c r="H92" i="7"/>
  <c r="K93" i="7"/>
  <c r="AE23" i="23"/>
  <c r="H93" i="7"/>
  <c r="AD24" i="23" s="1"/>
  <c r="AE24" i="23"/>
  <c r="H77" i="7"/>
  <c r="V24" i="23" s="1"/>
  <c r="W24" i="23"/>
  <c r="AA137" i="23"/>
  <c r="AH922" i="8"/>
  <c r="AA144" i="23" s="1"/>
  <c r="AG137" i="23"/>
  <c r="AH1147" i="8"/>
  <c r="AG144" i="23" s="1"/>
  <c r="H145" i="23"/>
  <c r="AH151" i="8"/>
  <c r="G144" i="23" s="1"/>
  <c r="G137" i="23"/>
  <c r="G143" i="23" s="1"/>
  <c r="H88" i="7"/>
  <c r="K89" i="7"/>
  <c r="AC23" i="23"/>
  <c r="O137" i="23"/>
  <c r="AH460" i="8"/>
  <c r="O144" i="23" s="1"/>
  <c r="AH533" i="8"/>
  <c r="Q144" i="23" s="1"/>
  <c r="Q137" i="23"/>
  <c r="W137" i="23"/>
  <c r="AH788" i="8"/>
  <c r="W144" i="23" s="1"/>
  <c r="AE137" i="23"/>
  <c r="AH1086" i="8"/>
  <c r="AE144" i="23" s="1"/>
  <c r="AH1208" i="8"/>
  <c r="AI144" i="23" s="1"/>
  <c r="AI137" i="23"/>
  <c r="AD145" i="23"/>
  <c r="R145" i="23"/>
  <c r="H56" i="7"/>
  <c r="H57" i="7"/>
  <c r="N24" i="23" s="1"/>
  <c r="H68" i="7"/>
  <c r="H69" i="7"/>
  <c r="R24" i="23" s="1"/>
  <c r="I68" i="7"/>
  <c r="I69" i="7"/>
  <c r="S24" i="23" s="1"/>
  <c r="I56" i="7"/>
  <c r="I57" i="7"/>
  <c r="O24" i="23" s="1"/>
  <c r="O162" i="23" l="1"/>
  <c r="O125" i="23"/>
  <c r="AE162" i="23"/>
  <c r="AE125" i="23"/>
  <c r="Y158" i="23"/>
  <c r="Y121" i="23"/>
  <c r="W158" i="23"/>
  <c r="W121" i="23"/>
  <c r="AD162" i="23"/>
  <c r="AD125" i="23"/>
  <c r="Y162" i="23"/>
  <c r="Y125" i="23"/>
  <c r="AC162" i="23"/>
  <c r="AC125" i="23"/>
  <c r="N162" i="23"/>
  <c r="N125" i="23"/>
  <c r="AE158" i="23"/>
  <c r="AE121" i="23"/>
  <c r="AB162" i="23"/>
  <c r="AB125" i="23"/>
  <c r="S162" i="23"/>
  <c r="S125" i="23"/>
  <c r="W162" i="23"/>
  <c r="W125" i="23"/>
  <c r="X162" i="23"/>
  <c r="X125" i="23"/>
  <c r="V162" i="23"/>
  <c r="V125" i="23"/>
  <c r="R162" i="23"/>
  <c r="R125" i="23"/>
  <c r="AC158" i="23"/>
  <c r="AC121" i="23"/>
  <c r="AI143" i="23"/>
  <c r="AI145" i="23" s="1"/>
  <c r="AI153" i="23"/>
  <c r="W143" i="23"/>
  <c r="W145" i="23" s="1"/>
  <c r="W153" i="23"/>
  <c r="O143" i="23"/>
  <c r="O145" i="23" s="1"/>
  <c r="O153" i="23"/>
  <c r="AG143" i="23"/>
  <c r="AG145" i="23" s="1"/>
  <c r="AG153" i="23"/>
  <c r="Y143" i="23"/>
  <c r="Y145" i="23" s="1"/>
  <c r="Y153" i="23"/>
  <c r="Q143" i="23"/>
  <c r="Q145" i="23" s="1"/>
  <c r="Q153" i="23"/>
  <c r="AC143" i="23"/>
  <c r="AC153" i="23"/>
  <c r="AE143" i="23"/>
  <c r="AE145" i="23" s="1"/>
  <c r="AE153" i="23"/>
  <c r="AA143" i="23"/>
  <c r="AA145" i="23" s="1"/>
  <c r="AA153" i="23"/>
  <c r="U143" i="23"/>
  <c r="U145" i="23" s="1"/>
  <c r="U153" i="23"/>
  <c r="S143" i="23"/>
  <c r="S145" i="23" s="1"/>
  <c r="S153" i="23"/>
  <c r="I143" i="23"/>
  <c r="I145" i="23" s="1"/>
  <c r="I153" i="23"/>
  <c r="AC145" i="23"/>
  <c r="G145" i="23"/>
  <c r="K145" i="23"/>
  <c r="AD23" i="23"/>
  <c r="J93" i="7"/>
  <c r="K69" i="7"/>
  <c r="S23" i="23"/>
  <c r="R23" i="23"/>
  <c r="J81" i="7"/>
  <c r="X23" i="23"/>
  <c r="K57" i="7"/>
  <c r="O23" i="23"/>
  <c r="J57" i="7"/>
  <c r="N23" i="23"/>
  <c r="J89" i="7"/>
  <c r="AB23" i="23"/>
  <c r="J77" i="7"/>
  <c r="V23" i="23"/>
  <c r="K74" i="6"/>
  <c r="K23" i="23" s="1"/>
  <c r="J74" i="6"/>
  <c r="J23" i="23" s="1"/>
  <c r="K73" i="6"/>
  <c r="K22" i="23" s="1"/>
  <c r="J73" i="6"/>
  <c r="J22" i="23" s="1"/>
  <c r="K72" i="6"/>
  <c r="K21" i="23" s="1"/>
  <c r="J72" i="6"/>
  <c r="J21" i="23" s="1"/>
  <c r="K71" i="6"/>
  <c r="K20" i="23" s="1"/>
  <c r="J71" i="6"/>
  <c r="J20" i="23" s="1"/>
  <c r="K70" i="6"/>
  <c r="K19" i="23" s="1"/>
  <c r="J70" i="6"/>
  <c r="J19" i="23" s="1"/>
  <c r="K69" i="6"/>
  <c r="K18" i="23" s="1"/>
  <c r="J69" i="6"/>
  <c r="J18" i="23" s="1"/>
  <c r="K68" i="6"/>
  <c r="J68" i="6"/>
  <c r="K40" i="6"/>
  <c r="G13" i="23" s="1"/>
  <c r="J40" i="6"/>
  <c r="F13" i="23" s="1"/>
  <c r="F121" i="23" s="1"/>
  <c r="F158" i="23" s="1"/>
  <c r="K39" i="6"/>
  <c r="G12" i="23" s="1"/>
  <c r="J39" i="6"/>
  <c r="F12" i="23" s="1"/>
  <c r="K38" i="6"/>
  <c r="G11" i="23" s="1"/>
  <c r="J38" i="6"/>
  <c r="F11" i="23" s="1"/>
  <c r="F114" i="23" s="1"/>
  <c r="F151" i="23" s="1"/>
  <c r="K37" i="6"/>
  <c r="G10" i="23" s="1"/>
  <c r="J37" i="6"/>
  <c r="F10" i="23" s="1"/>
  <c r="F123" i="23" s="1"/>
  <c r="F160" i="23" s="1"/>
  <c r="K36" i="6"/>
  <c r="G9" i="23" s="1"/>
  <c r="J36" i="6"/>
  <c r="F9" i="23" s="1"/>
  <c r="F115" i="23" s="1"/>
  <c r="F152" i="23" s="1"/>
  <c r="K35" i="6"/>
  <c r="G8" i="23" s="1"/>
  <c r="J35" i="6"/>
  <c r="K34" i="6"/>
  <c r="G7" i="23" s="1"/>
  <c r="G123" i="23" l="1"/>
  <c r="G160" i="23" s="1"/>
  <c r="K152" i="23"/>
  <c r="K115" i="23"/>
  <c r="K158" i="23"/>
  <c r="K121" i="23"/>
  <c r="G159" i="23"/>
  <c r="G122" i="23"/>
  <c r="G152" i="23"/>
  <c r="G115" i="23"/>
  <c r="G151" i="23"/>
  <c r="G114" i="23"/>
  <c r="G121" i="23"/>
  <c r="G158" i="23" s="1"/>
  <c r="K116" i="23"/>
  <c r="K153" i="23" s="1"/>
  <c r="K123" i="23"/>
  <c r="K160" i="23" s="1"/>
  <c r="J115" i="23"/>
  <c r="J152" i="23" s="1"/>
  <c r="J114" i="23"/>
  <c r="J121" i="23"/>
  <c r="J158" i="23" s="1"/>
  <c r="AB121" i="23"/>
  <c r="AB158" i="23" s="1"/>
  <c r="O121" i="23"/>
  <c r="O158" i="23" s="1"/>
  <c r="R121" i="23"/>
  <c r="R158" i="23" s="1"/>
  <c r="AD121" i="23"/>
  <c r="AD158" i="23" s="1"/>
  <c r="G116" i="23"/>
  <c r="G153" i="23" s="1"/>
  <c r="K114" i="23"/>
  <c r="S121" i="23"/>
  <c r="S158" i="23" s="1"/>
  <c r="J116" i="23"/>
  <c r="J153" i="23" s="1"/>
  <c r="J123" i="23"/>
  <c r="J160" i="23" s="1"/>
  <c r="V121" i="23"/>
  <c r="V158" i="23" s="1"/>
  <c r="N121" i="23"/>
  <c r="N158" i="23" s="1"/>
  <c r="X121" i="23"/>
  <c r="X158" i="23" s="1"/>
  <c r="L40" i="6"/>
  <c r="K17" i="23"/>
  <c r="M74" i="6"/>
  <c r="M99" i="6" s="1"/>
  <c r="M40" i="6"/>
  <c r="F8" i="23"/>
  <c r="F116" i="23" s="1"/>
  <c r="F153" i="23" s="1"/>
  <c r="L74" i="6"/>
  <c r="L99" i="6" s="1"/>
  <c r="J17" i="23"/>
  <c r="R55" i="3"/>
  <c r="Q55" i="3"/>
  <c r="R54" i="3"/>
  <c r="Q54" i="3"/>
  <c r="Q52" i="3"/>
  <c r="R52" i="3"/>
  <c r="R51" i="3"/>
  <c r="Q51" i="3"/>
  <c r="Q55" i="4"/>
  <c r="T55" i="4"/>
  <c r="T54" i="4"/>
  <c r="I41" i="2"/>
  <c r="P41" i="2" s="1"/>
  <c r="O41" i="2"/>
  <c r="O40" i="2"/>
  <c r="H38" i="1"/>
  <c r="P38" i="1" s="1"/>
  <c r="H37" i="1"/>
  <c r="P37" i="1" s="1"/>
  <c r="O38" i="1"/>
  <c r="O37" i="1"/>
  <c r="R98" i="3"/>
  <c r="Q98" i="3"/>
  <c r="J75" i="23" s="1"/>
  <c r="R96" i="3"/>
  <c r="Q96" i="3"/>
  <c r="J73" i="23" s="1"/>
  <c r="R81" i="3"/>
  <c r="Q81" i="3"/>
  <c r="R80" i="3"/>
  <c r="Q80" i="3"/>
  <c r="R76" i="3"/>
  <c r="Q76" i="3"/>
  <c r="R75" i="3"/>
  <c r="Q75" i="3"/>
  <c r="R71" i="3"/>
  <c r="Q71" i="3"/>
  <c r="Q70" i="3"/>
  <c r="R70" i="3"/>
  <c r="J159" i="23" l="1"/>
  <c r="J122" i="23"/>
  <c r="K151" i="23"/>
  <c r="K159" i="23"/>
  <c r="K122" i="23"/>
  <c r="J151" i="23"/>
  <c r="T58" i="4"/>
  <c r="K73" i="23"/>
  <c r="K75" i="23"/>
  <c r="F78" i="23"/>
  <c r="Q57" i="3"/>
  <c r="R57" i="3"/>
  <c r="Q73" i="3"/>
  <c r="H46" i="23" s="1"/>
  <c r="O39" i="1"/>
  <c r="O42" i="2"/>
  <c r="F77" i="23" s="1"/>
  <c r="R73" i="3"/>
  <c r="Q83" i="3"/>
  <c r="H64" i="23" s="1"/>
  <c r="Q78" i="3"/>
  <c r="H55" i="23" s="1"/>
  <c r="U55" i="4"/>
  <c r="Q54" i="4"/>
  <c r="U54" i="4" s="1"/>
  <c r="I40" i="2"/>
  <c r="P40" i="2" s="1"/>
  <c r="P42" i="2" s="1"/>
  <c r="G77" i="23" s="1"/>
  <c r="P39" i="1"/>
  <c r="T39" i="1"/>
  <c r="R83" i="3"/>
  <c r="R78" i="3"/>
  <c r="Q152" i="4"/>
  <c r="T152" i="4"/>
  <c r="T151" i="4"/>
  <c r="Q145" i="4"/>
  <c r="Q144" i="4"/>
  <c r="T145" i="4"/>
  <c r="T144" i="4"/>
  <c r="T148" i="4" s="1"/>
  <c r="R205" i="3"/>
  <c r="Q205" i="3"/>
  <c r="R197" i="3"/>
  <c r="Q197" i="3"/>
  <c r="R195" i="3"/>
  <c r="Q195" i="3"/>
  <c r="R204" i="3"/>
  <c r="Q204" i="3"/>
  <c r="R202" i="3"/>
  <c r="Q202" i="3"/>
  <c r="R194" i="3"/>
  <c r="Q194" i="3"/>
  <c r="R193" i="3"/>
  <c r="Q193" i="3"/>
  <c r="R69" i="2"/>
  <c r="I69" i="2" s="1"/>
  <c r="P69" i="2" s="1"/>
  <c r="R68" i="2"/>
  <c r="O69" i="2"/>
  <c r="O68" i="2"/>
  <c r="R180" i="3"/>
  <c r="R183" i="3" s="1"/>
  <c r="Q180" i="3"/>
  <c r="Q183" i="3" s="1"/>
  <c r="Q87" i="5"/>
  <c r="X87" i="5" s="1"/>
  <c r="AD83" i="23" s="1"/>
  <c r="AD128" i="23" s="1"/>
  <c r="AD129" i="23" s="1"/>
  <c r="X84" i="5"/>
  <c r="Y84" i="5" s="1"/>
  <c r="Y83" i="5"/>
  <c r="X83" i="5"/>
  <c r="Y82" i="5"/>
  <c r="X82" i="5"/>
  <c r="Q199" i="3" l="1"/>
  <c r="S199" i="3" s="1"/>
  <c r="T183" i="3"/>
  <c r="AC15" i="23"/>
  <c r="AB15" i="23"/>
  <c r="S183" i="3"/>
  <c r="T155" i="4"/>
  <c r="AH16" i="23" s="1"/>
  <c r="R199" i="3"/>
  <c r="T199" i="3" s="1"/>
  <c r="AH15" i="23"/>
  <c r="I46" i="23"/>
  <c r="I55" i="23"/>
  <c r="I64" i="23"/>
  <c r="AD166" i="23"/>
  <c r="U58" i="4"/>
  <c r="G78" i="23" s="1"/>
  <c r="Y87" i="5"/>
  <c r="AE83" i="23" s="1"/>
  <c r="AE128" i="23" s="1"/>
  <c r="AE129" i="23" s="1"/>
  <c r="Z87" i="5"/>
  <c r="X85" i="5"/>
  <c r="AB83" i="23" s="1"/>
  <c r="Q151" i="4"/>
  <c r="U152" i="4"/>
  <c r="U144" i="4"/>
  <c r="U148" i="4" s="1"/>
  <c r="U145" i="4"/>
  <c r="I68" i="2"/>
  <c r="P68" i="2" s="1"/>
  <c r="Y85" i="5"/>
  <c r="AC83" i="23" s="1"/>
  <c r="AF108" i="23" l="1"/>
  <c r="AG15" i="23"/>
  <c r="AF15" i="23"/>
  <c r="AH128" i="23"/>
  <c r="AH129" i="23" s="1"/>
  <c r="V155" i="4"/>
  <c r="AH108" i="23" s="1"/>
  <c r="AI15" i="23"/>
  <c r="AE166" i="23"/>
  <c r="AE107" i="23"/>
  <c r="AA85" i="5"/>
  <c r="V148" i="4"/>
  <c r="AF16" i="23"/>
  <c r="Z85" i="5"/>
  <c r="AA87" i="5"/>
  <c r="U151" i="4"/>
  <c r="AH166" i="23" l="1"/>
  <c r="AF128" i="23"/>
  <c r="AF129" i="23" s="1"/>
  <c r="AF169" i="23" s="1"/>
  <c r="U155" i="4"/>
  <c r="AI16" i="23" s="1"/>
  <c r="AI128" i="23" s="1"/>
  <c r="AI129" i="23" s="1"/>
  <c r="AE109" i="23"/>
  <c r="AE169" i="23"/>
  <c r="W148" i="4"/>
  <c r="AG108" i="23" s="1"/>
  <c r="AG16" i="23"/>
  <c r="AG128" i="23" s="1"/>
  <c r="AG129" i="23" s="1"/>
  <c r="AF107" i="23"/>
  <c r="AD169" i="23"/>
  <c r="AD107" i="23"/>
  <c r="AH169" i="23"/>
  <c r="AH107" i="23"/>
  <c r="W133" i="4"/>
  <c r="Q133" i="4" s="1"/>
  <c r="W132" i="4"/>
  <c r="Q132" i="4" s="1"/>
  <c r="T133" i="4"/>
  <c r="T132" i="4"/>
  <c r="R67" i="2"/>
  <c r="I67" i="2" s="1"/>
  <c r="P67" i="2" s="1"/>
  <c r="R66" i="2"/>
  <c r="O67" i="2"/>
  <c r="O66" i="2"/>
  <c r="R58" i="1"/>
  <c r="R57" i="1"/>
  <c r="H57" i="1" s="1"/>
  <c r="P57" i="1" s="1"/>
  <c r="O58" i="1"/>
  <c r="O57" i="1"/>
  <c r="Q126" i="4"/>
  <c r="T126" i="4"/>
  <c r="T125" i="4"/>
  <c r="T129" i="4" s="1"/>
  <c r="R172" i="3"/>
  <c r="Q172" i="3"/>
  <c r="R175" i="3"/>
  <c r="Q175" i="3"/>
  <c r="R174" i="3"/>
  <c r="Q174" i="3"/>
  <c r="R173" i="3"/>
  <c r="Q173" i="3"/>
  <c r="R168" i="3"/>
  <c r="Q168" i="3"/>
  <c r="R62" i="2"/>
  <c r="I62" i="2" s="1"/>
  <c r="P62" i="2" s="1"/>
  <c r="R61" i="2"/>
  <c r="O62" i="2"/>
  <c r="O61" i="2"/>
  <c r="R54" i="2"/>
  <c r="R156" i="3"/>
  <c r="R159" i="3" s="1"/>
  <c r="Q156" i="3"/>
  <c r="Q80" i="5"/>
  <c r="X80" i="5" s="1"/>
  <c r="X83" i="23" s="1"/>
  <c r="X128" i="23" s="1"/>
  <c r="X129" i="23" s="1"/>
  <c r="X77" i="5"/>
  <c r="Y77" i="5" s="1"/>
  <c r="Y76" i="5"/>
  <c r="X76" i="5"/>
  <c r="Y75" i="5"/>
  <c r="X75" i="5"/>
  <c r="W114" i="4"/>
  <c r="Q114" i="4" s="1"/>
  <c r="W113" i="4"/>
  <c r="T114" i="4"/>
  <c r="T113" i="4"/>
  <c r="R60" i="2"/>
  <c r="I60" i="2" s="1"/>
  <c r="P60" i="2" s="1"/>
  <c r="R59" i="2"/>
  <c r="I59" i="2" s="1"/>
  <c r="P59" i="2" s="1"/>
  <c r="O60" i="2"/>
  <c r="O59" i="2"/>
  <c r="R53" i="1"/>
  <c r="H53" i="1" s="1"/>
  <c r="P53" i="1" s="1"/>
  <c r="R52" i="1"/>
  <c r="O53" i="1"/>
  <c r="O52" i="1"/>
  <c r="Q177" i="3" l="1"/>
  <c r="S177" i="3" s="1"/>
  <c r="T159" i="3"/>
  <c r="W15" i="23"/>
  <c r="AF166" i="23"/>
  <c r="AI107" i="23"/>
  <c r="AI166" i="23"/>
  <c r="W155" i="4"/>
  <c r="AI108" i="23" s="1"/>
  <c r="T136" i="4"/>
  <c r="V136" i="4" s="1"/>
  <c r="AB108" i="23" s="1"/>
  <c r="T117" i="4"/>
  <c r="S180" i="3"/>
  <c r="R177" i="3"/>
  <c r="S156" i="3"/>
  <c r="Q159" i="3"/>
  <c r="T156" i="3"/>
  <c r="X166" i="23"/>
  <c r="AG166" i="23"/>
  <c r="AG107" i="23"/>
  <c r="Z15" i="23"/>
  <c r="AD109" i="23"/>
  <c r="AD130" i="23"/>
  <c r="AF109" i="23"/>
  <c r="AF130" i="23"/>
  <c r="Y80" i="5"/>
  <c r="Y83" i="23" s="1"/>
  <c r="Y128" i="23" s="1"/>
  <c r="Y129" i="23" s="1"/>
  <c r="Z80" i="5"/>
  <c r="AH109" i="23"/>
  <c r="AH130" i="23"/>
  <c r="O59" i="1"/>
  <c r="T59" i="1"/>
  <c r="X78" i="5"/>
  <c r="V83" i="23" s="1"/>
  <c r="O70" i="2"/>
  <c r="O63" i="2"/>
  <c r="O54" i="1"/>
  <c r="U133" i="4"/>
  <c r="Q113" i="4"/>
  <c r="T54" i="1"/>
  <c r="U132" i="4"/>
  <c r="I66" i="2"/>
  <c r="P66" i="2" s="1"/>
  <c r="P70" i="2" s="1"/>
  <c r="H58" i="1"/>
  <c r="P58" i="1" s="1"/>
  <c r="P59" i="1" s="1"/>
  <c r="Q125" i="4"/>
  <c r="U126" i="4"/>
  <c r="I61" i="2"/>
  <c r="P61" i="2" s="1"/>
  <c r="P63" i="2" s="1"/>
  <c r="Y78" i="5"/>
  <c r="W83" i="23" s="1"/>
  <c r="U114" i="4"/>
  <c r="H52" i="1"/>
  <c r="P52" i="1" s="1"/>
  <c r="P54" i="1" s="1"/>
  <c r="AB16" i="23" l="1"/>
  <c r="AB128" i="23" s="1"/>
  <c r="AB129" i="23" s="1"/>
  <c r="T180" i="3"/>
  <c r="T177" i="3"/>
  <c r="V15" i="23"/>
  <c r="S159" i="3"/>
  <c r="Z128" i="23"/>
  <c r="Z129" i="23" s="1"/>
  <c r="AI109" i="23"/>
  <c r="AI169" i="23"/>
  <c r="U136" i="4"/>
  <c r="Q63" i="2"/>
  <c r="Q70" i="2"/>
  <c r="R63" i="2"/>
  <c r="R70" i="2"/>
  <c r="AG169" i="23"/>
  <c r="AD167" i="23"/>
  <c r="AG109" i="23"/>
  <c r="AH167" i="23"/>
  <c r="AF167" i="23"/>
  <c r="Y166" i="23"/>
  <c r="Y107" i="23"/>
  <c r="V117" i="4"/>
  <c r="V16" i="23"/>
  <c r="AE130" i="23"/>
  <c r="AE167" i="23" s="1"/>
  <c r="Z78" i="5"/>
  <c r="AA78" i="5"/>
  <c r="Q54" i="1"/>
  <c r="V129" i="4"/>
  <c r="Z108" i="23" s="1"/>
  <c r="Z16" i="23"/>
  <c r="R59" i="1"/>
  <c r="AA15" i="23"/>
  <c r="AA80" i="5"/>
  <c r="R54" i="1"/>
  <c r="Q59" i="1"/>
  <c r="U113" i="4"/>
  <c r="U117" i="4" s="1"/>
  <c r="U125" i="4"/>
  <c r="U129" i="4" s="1"/>
  <c r="AB166" i="23" l="1"/>
  <c r="V108" i="23"/>
  <c r="Z166" i="23"/>
  <c r="V128" i="23"/>
  <c r="V129" i="23" s="1"/>
  <c r="V169" i="23" s="1"/>
  <c r="AI130" i="23"/>
  <c r="AI167" i="23" s="1"/>
  <c r="AI170" i="23" s="1"/>
  <c r="AG130" i="23"/>
  <c r="W136" i="4"/>
  <c r="AC108" i="23" s="1"/>
  <c r="AC16" i="23"/>
  <c r="AE170" i="23"/>
  <c r="AH170" i="23"/>
  <c r="AD170" i="23"/>
  <c r="AF170" i="23"/>
  <c r="AG167" i="23"/>
  <c r="Y109" i="23"/>
  <c r="X169" i="23"/>
  <c r="X107" i="23"/>
  <c r="W129" i="4"/>
  <c r="AA108" i="23" s="1"/>
  <c r="AA16" i="23"/>
  <c r="Y169" i="23"/>
  <c r="AB169" i="23"/>
  <c r="AB107" i="23"/>
  <c r="V107" i="23"/>
  <c r="Z169" i="23"/>
  <c r="Z107" i="23"/>
  <c r="Q107" i="4"/>
  <c r="T107" i="4"/>
  <c r="T106" i="4"/>
  <c r="R151" i="3"/>
  <c r="Q151" i="3"/>
  <c r="R148" i="3"/>
  <c r="Q148" i="3"/>
  <c r="R147" i="3"/>
  <c r="Q147" i="3"/>
  <c r="R145" i="3"/>
  <c r="Q145" i="3"/>
  <c r="Q144" i="3"/>
  <c r="R144" i="3"/>
  <c r="R138" i="3"/>
  <c r="R55" i="2"/>
  <c r="I54" i="2"/>
  <c r="P54" i="2" s="1"/>
  <c r="O55" i="2"/>
  <c r="O54" i="2"/>
  <c r="R136" i="3"/>
  <c r="Q138" i="3"/>
  <c r="Q136" i="3"/>
  <c r="Q73" i="5"/>
  <c r="X73" i="5" s="1"/>
  <c r="T83" i="23" s="1"/>
  <c r="Q70" i="5"/>
  <c r="Y69" i="5"/>
  <c r="X69" i="5"/>
  <c r="Y68" i="5"/>
  <c r="X68" i="5"/>
  <c r="Q100" i="4"/>
  <c r="T100" i="4"/>
  <c r="T99" i="4"/>
  <c r="T103" i="4" s="1"/>
  <c r="R53" i="2"/>
  <c r="I53" i="2" s="1"/>
  <c r="P53" i="2" s="1"/>
  <c r="R52" i="2"/>
  <c r="O53" i="2"/>
  <c r="O52" i="2"/>
  <c r="R48" i="1"/>
  <c r="H48" i="1" s="1"/>
  <c r="P48" i="1" s="1"/>
  <c r="R47" i="1"/>
  <c r="H47" i="1" s="1"/>
  <c r="P47" i="1" s="1"/>
  <c r="O48" i="1"/>
  <c r="O47" i="1"/>
  <c r="Q93" i="4"/>
  <c r="Q92" i="4"/>
  <c r="T93" i="4"/>
  <c r="T92" i="4"/>
  <c r="R130" i="3"/>
  <c r="Q130" i="3"/>
  <c r="R128" i="3"/>
  <c r="Q128" i="3"/>
  <c r="R127" i="3"/>
  <c r="Q127" i="3"/>
  <c r="R123" i="3"/>
  <c r="Q123" i="3"/>
  <c r="R117" i="3"/>
  <c r="Q117" i="3"/>
  <c r="R48" i="2"/>
  <c r="I48" i="2" s="1"/>
  <c r="P48" i="2" s="1"/>
  <c r="R47" i="2"/>
  <c r="I47" i="2" s="1"/>
  <c r="P47" i="2" s="1"/>
  <c r="O48" i="2"/>
  <c r="O47" i="2"/>
  <c r="R115" i="3"/>
  <c r="Q115" i="3"/>
  <c r="Q66" i="5"/>
  <c r="X66" i="5" s="1"/>
  <c r="P83" i="23" s="1"/>
  <c r="X63" i="5"/>
  <c r="Y62" i="5"/>
  <c r="X62" i="5"/>
  <c r="Y61" i="5"/>
  <c r="X61" i="5"/>
  <c r="W86" i="4"/>
  <c r="Q86" i="4" s="1"/>
  <c r="W85" i="4"/>
  <c r="T86" i="4"/>
  <c r="T85" i="4"/>
  <c r="R46" i="2"/>
  <c r="I46" i="2" s="1"/>
  <c r="P46" i="2" s="1"/>
  <c r="R45" i="2"/>
  <c r="O46" i="2"/>
  <c r="O45" i="2"/>
  <c r="R43" i="1"/>
  <c r="H43" i="1" s="1"/>
  <c r="P43" i="1" s="1"/>
  <c r="R42" i="1"/>
  <c r="O43" i="1"/>
  <c r="O42" i="1"/>
  <c r="Q71" i="4"/>
  <c r="Q62" i="4"/>
  <c r="T71" i="4"/>
  <c r="T70" i="4"/>
  <c r="W45" i="4"/>
  <c r="Q45" i="4" s="1"/>
  <c r="W44" i="4"/>
  <c r="T45" i="4"/>
  <c r="T44" i="4"/>
  <c r="T62" i="4"/>
  <c r="T61" i="4"/>
  <c r="T67" i="4" s="1"/>
  <c r="V166" i="23" l="1"/>
  <c r="AC128" i="23"/>
  <c r="AC129" i="23" s="1"/>
  <c r="AC169" i="23" s="1"/>
  <c r="AA128" i="23"/>
  <c r="AA129" i="23" s="1"/>
  <c r="AA169" i="23" s="1"/>
  <c r="AC107" i="23"/>
  <c r="AC109" i="23" s="1"/>
  <c r="T74" i="4"/>
  <c r="V83" i="4" s="1"/>
  <c r="T52" i="4"/>
  <c r="F16" i="23" s="1"/>
  <c r="T89" i="4"/>
  <c r="N16" i="23" s="1"/>
  <c r="T110" i="4"/>
  <c r="T96" i="4"/>
  <c r="R16" i="23"/>
  <c r="R153" i="3"/>
  <c r="Q153" i="3"/>
  <c r="T15" i="23" s="1"/>
  <c r="R140" i="3"/>
  <c r="S15" i="23" s="1"/>
  <c r="Q140" i="3"/>
  <c r="R15" i="23" s="1"/>
  <c r="Q133" i="3"/>
  <c r="R133" i="3"/>
  <c r="Q15" i="23" s="1"/>
  <c r="Q120" i="3"/>
  <c r="R120" i="3"/>
  <c r="O15" i="23" s="1"/>
  <c r="AG170" i="23"/>
  <c r="AA107" i="23"/>
  <c r="AA109" i="23" s="1"/>
  <c r="Y167" i="23"/>
  <c r="W117" i="4"/>
  <c r="W108" i="23" s="1"/>
  <c r="W16" i="23"/>
  <c r="W128" i="23" s="1"/>
  <c r="W129" i="23" s="1"/>
  <c r="V103" i="4"/>
  <c r="Z109" i="23"/>
  <c r="Z130" i="23"/>
  <c r="Y73" i="5"/>
  <c r="U83" i="23" s="1"/>
  <c r="Z73" i="5"/>
  <c r="AB109" i="23"/>
  <c r="AB167" i="23" s="1"/>
  <c r="AB130" i="23"/>
  <c r="X109" i="23"/>
  <c r="X130" i="23"/>
  <c r="Y66" i="5"/>
  <c r="Q83" i="23" s="1"/>
  <c r="Z66" i="5"/>
  <c r="V109" i="23"/>
  <c r="V130" i="23"/>
  <c r="Y130" i="23"/>
  <c r="O44" i="1"/>
  <c r="T44" i="1"/>
  <c r="O49" i="1"/>
  <c r="X70" i="5"/>
  <c r="X71" i="5" s="1"/>
  <c r="R83" i="23" s="1"/>
  <c r="O56" i="2"/>
  <c r="Q56" i="2" s="1"/>
  <c r="O49" i="2"/>
  <c r="Y63" i="5"/>
  <c r="Y64" i="5" s="1"/>
  <c r="O83" i="23" s="1"/>
  <c r="X64" i="5"/>
  <c r="N83" i="23" s="1"/>
  <c r="I52" i="2"/>
  <c r="P52" i="2" s="1"/>
  <c r="H42" i="1"/>
  <c r="P42" i="1" s="1"/>
  <c r="P44" i="1" s="1"/>
  <c r="U107" i="4"/>
  <c r="Q106" i="4"/>
  <c r="I55" i="2"/>
  <c r="P55" i="2" s="1"/>
  <c r="U100" i="4"/>
  <c r="Q99" i="4"/>
  <c r="T49" i="1"/>
  <c r="P49" i="1"/>
  <c r="U93" i="4"/>
  <c r="U92" i="4"/>
  <c r="U86" i="4"/>
  <c r="Q85" i="4"/>
  <c r="I45" i="2"/>
  <c r="P45" i="2" s="1"/>
  <c r="P49" i="2" s="1"/>
  <c r="U71" i="4"/>
  <c r="Q70" i="4"/>
  <c r="U45" i="4"/>
  <c r="Q44" i="4"/>
  <c r="U62" i="4"/>
  <c r="Q61" i="4"/>
  <c r="R90" i="3"/>
  <c r="Q90" i="3"/>
  <c r="R37" i="2"/>
  <c r="R36" i="2"/>
  <c r="AC166" i="23" l="1"/>
  <c r="AA166" i="23"/>
  <c r="S140" i="3"/>
  <c r="R108" i="23" s="1"/>
  <c r="S133" i="3"/>
  <c r="P108" i="23" s="1"/>
  <c r="P15" i="23"/>
  <c r="N15" i="23"/>
  <c r="N128" i="23" s="1"/>
  <c r="S120" i="3"/>
  <c r="N108" i="23" s="1"/>
  <c r="R128" i="23"/>
  <c r="R129" i="23" s="1"/>
  <c r="U96" i="4"/>
  <c r="V89" i="4"/>
  <c r="Y170" i="23"/>
  <c r="T120" i="3"/>
  <c r="T140" i="3"/>
  <c r="AB170" i="23"/>
  <c r="Q49" i="2"/>
  <c r="R49" i="2"/>
  <c r="AA130" i="23"/>
  <c r="AA167" i="23" s="1"/>
  <c r="W166" i="23"/>
  <c r="V167" i="23"/>
  <c r="X167" i="23"/>
  <c r="Z167" i="23"/>
  <c r="W107" i="23"/>
  <c r="W109" i="23" s="1"/>
  <c r="AC130" i="23"/>
  <c r="AC167" i="23"/>
  <c r="U44" i="4"/>
  <c r="U52" i="4" s="1"/>
  <c r="P56" i="2"/>
  <c r="R56" i="2" s="1"/>
  <c r="T133" i="3"/>
  <c r="R49" i="1"/>
  <c r="R44" i="1"/>
  <c r="J16" i="23"/>
  <c r="Z71" i="5"/>
  <c r="Q49" i="1"/>
  <c r="T153" i="3"/>
  <c r="U15" i="23"/>
  <c r="S153" i="3"/>
  <c r="T108" i="23" s="1"/>
  <c r="Z64" i="5"/>
  <c r="V67" i="4"/>
  <c r="H108" i="23" s="1"/>
  <c r="H16" i="23"/>
  <c r="H128" i="23" s="1"/>
  <c r="H129" i="23" s="1"/>
  <c r="V110" i="4"/>
  <c r="T16" i="23"/>
  <c r="AA64" i="5"/>
  <c r="V96" i="4"/>
  <c r="P16" i="23"/>
  <c r="Q44" i="1"/>
  <c r="AA66" i="5"/>
  <c r="AA73" i="5"/>
  <c r="Y70" i="5"/>
  <c r="Y71" i="5" s="1"/>
  <c r="S83" i="23" s="1"/>
  <c r="U106" i="4"/>
  <c r="U110" i="4" s="1"/>
  <c r="U99" i="4"/>
  <c r="U85" i="4"/>
  <c r="U89" i="4" s="1"/>
  <c r="U61" i="4"/>
  <c r="U67" i="4" s="1"/>
  <c r="U70" i="4"/>
  <c r="U108" i="23" l="1"/>
  <c r="N129" i="23"/>
  <c r="N169" i="23" s="1"/>
  <c r="N166" i="23"/>
  <c r="R166" i="23"/>
  <c r="P128" i="23"/>
  <c r="P129" i="23" s="1"/>
  <c r="P169" i="23" s="1"/>
  <c r="T128" i="23"/>
  <c r="T129" i="23" s="1"/>
  <c r="T169" i="23" s="1"/>
  <c r="U103" i="4"/>
  <c r="S16" i="23" s="1"/>
  <c r="S128" i="23" s="1"/>
  <c r="S129" i="23" s="1"/>
  <c r="U74" i="4"/>
  <c r="W83" i="4" s="1"/>
  <c r="W167" i="23"/>
  <c r="Z170" i="23"/>
  <c r="AA170" i="23"/>
  <c r="X170" i="23"/>
  <c r="AC170" i="23"/>
  <c r="V170" i="23"/>
  <c r="H107" i="23"/>
  <c r="H166" i="23"/>
  <c r="G16" i="23"/>
  <c r="AA71" i="5"/>
  <c r="T107" i="23"/>
  <c r="P107" i="23"/>
  <c r="R169" i="23"/>
  <c r="R107" i="23"/>
  <c r="W96" i="4"/>
  <c r="Q108" i="23" s="1"/>
  <c r="Q16" i="23"/>
  <c r="Q128" i="23" s="1"/>
  <c r="Q129" i="23" s="1"/>
  <c r="N107" i="23"/>
  <c r="W67" i="4"/>
  <c r="I16" i="23"/>
  <c r="I128" i="23" s="1"/>
  <c r="I129" i="23" s="1"/>
  <c r="W89" i="4"/>
  <c r="O108" i="23" s="1"/>
  <c r="O16" i="23"/>
  <c r="O128" i="23" s="1"/>
  <c r="O129" i="23" s="1"/>
  <c r="U16" i="23"/>
  <c r="W110" i="4"/>
  <c r="R92" i="3"/>
  <c r="R94" i="3" s="1"/>
  <c r="K15" i="23" s="1"/>
  <c r="Q92" i="3"/>
  <c r="R35" i="2"/>
  <c r="R34" i="2"/>
  <c r="O35" i="2"/>
  <c r="O34" i="2"/>
  <c r="I37" i="2"/>
  <c r="P37" i="2" s="1"/>
  <c r="O37" i="2"/>
  <c r="I36" i="2"/>
  <c r="P36" i="2" s="1"/>
  <c r="O36" i="2"/>
  <c r="R43" i="3"/>
  <c r="R49" i="3" s="1"/>
  <c r="G15" i="23" s="1"/>
  <c r="Q43" i="3"/>
  <c r="Q49" i="3" s="1"/>
  <c r="F15" i="23" s="1"/>
  <c r="R34" i="1"/>
  <c r="R33" i="1"/>
  <c r="O34" i="1"/>
  <c r="O33" i="1"/>
  <c r="W103" i="4" l="1"/>
  <c r="S108" i="23" s="1"/>
  <c r="K16" i="23"/>
  <c r="K128" i="23"/>
  <c r="K129" i="23" s="1"/>
  <c r="P166" i="23"/>
  <c r="T166" i="23"/>
  <c r="U128" i="23"/>
  <c r="U129" i="23" s="1"/>
  <c r="U169" i="23" s="1"/>
  <c r="S166" i="23"/>
  <c r="Q94" i="3"/>
  <c r="T113" i="3"/>
  <c r="K108" i="23" s="1"/>
  <c r="O38" i="2"/>
  <c r="W130" i="23"/>
  <c r="W169" i="23"/>
  <c r="W170" i="23" s="1"/>
  <c r="O166" i="23"/>
  <c r="Q166" i="23"/>
  <c r="I107" i="23"/>
  <c r="I166" i="23"/>
  <c r="O107" i="23"/>
  <c r="S107" i="23"/>
  <c r="U107" i="23"/>
  <c r="N109" i="23"/>
  <c r="N167" i="23" s="1"/>
  <c r="N130" i="23"/>
  <c r="H34" i="1"/>
  <c r="P34" i="1" s="1"/>
  <c r="Q107" i="23"/>
  <c r="O35" i="1"/>
  <c r="R109" i="23"/>
  <c r="R130" i="23"/>
  <c r="P109" i="23"/>
  <c r="P130" i="23"/>
  <c r="T109" i="23"/>
  <c r="T130" i="23"/>
  <c r="T35" i="1"/>
  <c r="I35" i="2"/>
  <c r="P35" i="2" s="1"/>
  <c r="S35" i="2"/>
  <c r="T83" i="3"/>
  <c r="I108" i="23" s="1"/>
  <c r="I34" i="2"/>
  <c r="P34" i="2" s="1"/>
  <c r="P38" i="2" s="1"/>
  <c r="H33" i="1"/>
  <c r="P33" i="1" s="1"/>
  <c r="P35" i="1" s="1"/>
  <c r="S113" i="3" l="1"/>
  <c r="J108" i="23" s="1"/>
  <c r="J15" i="23"/>
  <c r="J128" i="23" s="1"/>
  <c r="J129" i="23" s="1"/>
  <c r="U166" i="23"/>
  <c r="S169" i="23"/>
  <c r="N170" i="23"/>
  <c r="H130" i="23"/>
  <c r="H169" i="23"/>
  <c r="Q169" i="23"/>
  <c r="P167" i="23"/>
  <c r="Q109" i="23"/>
  <c r="U130" i="23"/>
  <c r="T167" i="23"/>
  <c r="R167" i="23"/>
  <c r="S109" i="23"/>
  <c r="O169" i="23"/>
  <c r="O109" i="23"/>
  <c r="S130" i="23"/>
  <c r="U109" i="23"/>
  <c r="K166" i="23"/>
  <c r="Y45" i="5"/>
  <c r="X45" i="5"/>
  <c r="Y44" i="5"/>
  <c r="X44" i="5"/>
  <c r="Q39" i="4"/>
  <c r="Q38" i="4"/>
  <c r="Q36" i="4"/>
  <c r="T38" i="4"/>
  <c r="T37" i="4"/>
  <c r="Q37" i="4"/>
  <c r="T39" i="4"/>
  <c r="T36" i="4"/>
  <c r="I29" i="2"/>
  <c r="P29" i="2" s="1"/>
  <c r="O29" i="2"/>
  <c r="O28" i="2"/>
  <c r="R39" i="3"/>
  <c r="Q39" i="3"/>
  <c r="R38" i="3"/>
  <c r="Q38" i="3"/>
  <c r="R37" i="3"/>
  <c r="Q37" i="3"/>
  <c r="R35" i="3"/>
  <c r="I30" i="2"/>
  <c r="P30" i="2" s="1"/>
  <c r="Q35" i="3"/>
  <c r="O30" i="2"/>
  <c r="O31" i="2"/>
  <c r="O30" i="1"/>
  <c r="J166" i="23" l="1"/>
  <c r="U167" i="23"/>
  <c r="U170" i="23" s="1"/>
  <c r="T42" i="4"/>
  <c r="V58" i="4" s="1"/>
  <c r="Q41" i="3"/>
  <c r="R41" i="3"/>
  <c r="G5" i="23" s="1"/>
  <c r="Q130" i="23"/>
  <c r="R170" i="23"/>
  <c r="P170" i="23"/>
  <c r="T170" i="23"/>
  <c r="Q167" i="23"/>
  <c r="S167" i="23"/>
  <c r="O130" i="23"/>
  <c r="O167" i="23" s="1"/>
  <c r="O32" i="2"/>
  <c r="I31" i="2"/>
  <c r="P31" i="2" s="1"/>
  <c r="K169" i="23"/>
  <c r="K107" i="23"/>
  <c r="H30" i="1"/>
  <c r="P30" i="1" s="1"/>
  <c r="J169" i="23"/>
  <c r="J107" i="23"/>
  <c r="I169" i="23"/>
  <c r="H29" i="1"/>
  <c r="S32" i="2"/>
  <c r="X47" i="5"/>
  <c r="Y47" i="5"/>
  <c r="G83" i="23" s="1"/>
  <c r="U39" i="4"/>
  <c r="U38" i="4"/>
  <c r="U37" i="4"/>
  <c r="U36" i="4"/>
  <c r="I28" i="2"/>
  <c r="P28" i="2" s="1"/>
  <c r="T31" i="1"/>
  <c r="S57" i="3" l="1"/>
  <c r="F108" i="23" s="1"/>
  <c r="F5" i="23"/>
  <c r="T57" i="3"/>
  <c r="Q42" i="2"/>
  <c r="O170" i="23"/>
  <c r="S170" i="23"/>
  <c r="Q170" i="23"/>
  <c r="Z47" i="5"/>
  <c r="F83" i="23"/>
  <c r="F6" i="23"/>
  <c r="U42" i="4"/>
  <c r="G6" i="23" s="1"/>
  <c r="G128" i="23" s="1"/>
  <c r="G129" i="23" s="1"/>
  <c r="P32" i="2"/>
  <c r="I130" i="23"/>
  <c r="I109" i="23"/>
  <c r="I167" i="23" s="1"/>
  <c r="I170" i="23" s="1"/>
  <c r="AA47" i="5"/>
  <c r="J109" i="23"/>
  <c r="J167" i="23" s="1"/>
  <c r="J130" i="23"/>
  <c r="K109" i="23"/>
  <c r="K167" i="23" s="1"/>
  <c r="K130" i="23"/>
  <c r="H109" i="23"/>
  <c r="H167" i="23" s="1"/>
  <c r="H170" i="23" s="1"/>
  <c r="U41" i="1"/>
  <c r="O29" i="1"/>
  <c r="O31" i="1" s="1"/>
  <c r="P29" i="1"/>
  <c r="P31" i="1" s="1"/>
  <c r="F128" i="23" l="1"/>
  <c r="F166" i="23" s="1"/>
  <c r="F107" i="23"/>
  <c r="F109" i="23" s="1"/>
  <c r="W39" i="1"/>
  <c r="G166" i="23"/>
  <c r="R42" i="2"/>
  <c r="J170" i="23"/>
  <c r="K170" i="23"/>
  <c r="R39" i="1"/>
  <c r="W58" i="4"/>
  <c r="G108" i="23" s="1"/>
  <c r="G169" i="23" l="1"/>
  <c r="G107" i="23"/>
  <c r="G109" i="23" s="1"/>
  <c r="F129" i="23"/>
  <c r="F169" i="23" s="1"/>
  <c r="F130" i="23" l="1"/>
  <c r="F167" i="23" s="1"/>
  <c r="F170" i="23" s="1"/>
  <c r="G167" i="23"/>
  <c r="G170" i="23" s="1"/>
  <c r="G130" i="23"/>
</calcChain>
</file>

<file path=xl/sharedStrings.xml><?xml version="1.0" encoding="utf-8"?>
<sst xmlns="http://schemas.openxmlformats.org/spreadsheetml/2006/main" count="6981" uniqueCount="697">
  <si>
    <t>№ ист.</t>
  </si>
  <si>
    <t>Наименование производства</t>
  </si>
  <si>
    <t>Наименование материала</t>
  </si>
  <si>
    <r>
      <t>q</t>
    </r>
    <r>
      <rPr>
        <vertAlign val="subscript"/>
        <sz val="10"/>
        <rFont val="Times New Roman"/>
        <family val="1"/>
        <charset val="204"/>
      </rPr>
      <t>уд, г/т</t>
    </r>
  </si>
  <si>
    <r>
      <t>γ, т/м</t>
    </r>
    <r>
      <rPr>
        <vertAlign val="superscript"/>
        <sz val="10"/>
        <rFont val="Times New Roman"/>
        <family val="1"/>
        <charset val="204"/>
      </rPr>
      <t>3</t>
    </r>
  </si>
  <si>
    <r>
      <t>V, м</t>
    </r>
    <r>
      <rPr>
        <vertAlign val="superscript"/>
        <sz val="10"/>
        <rFont val="Times New Roman"/>
        <family val="1"/>
        <charset val="204"/>
      </rPr>
      <t>3</t>
    </r>
  </si>
  <si>
    <r>
      <t>t</t>
    </r>
    <r>
      <rPr>
        <vertAlign val="subscript"/>
        <sz val="10"/>
        <rFont val="Times New Roman"/>
        <family val="1"/>
        <charset val="204"/>
      </rPr>
      <t>см</t>
    </r>
    <r>
      <rPr>
        <sz val="10"/>
        <rFont val="Times New Roman"/>
        <family val="1"/>
        <charset val="204"/>
      </rPr>
      <t>, ч</t>
    </r>
  </si>
  <si>
    <r>
      <t>n</t>
    </r>
    <r>
      <rPr>
        <vertAlign val="subscript"/>
        <sz val="10"/>
        <rFont val="Times New Roman"/>
        <family val="1"/>
        <charset val="204"/>
      </rPr>
      <t>cм</t>
    </r>
    <r>
      <rPr>
        <sz val="10"/>
        <rFont val="Times New Roman"/>
        <family val="1"/>
        <charset val="204"/>
      </rPr>
      <t>, см/год</t>
    </r>
  </si>
  <si>
    <r>
      <t>t</t>
    </r>
    <r>
      <rPr>
        <vertAlign val="subscript"/>
        <sz val="10"/>
        <rFont val="Times New Roman"/>
        <family val="1"/>
        <charset val="204"/>
      </rPr>
      <t>цб</t>
    </r>
    <r>
      <rPr>
        <sz val="10"/>
        <rFont val="Times New Roman"/>
        <family val="1"/>
        <charset val="204"/>
      </rPr>
      <t>, с</t>
    </r>
  </si>
  <si>
    <r>
      <t>К</t>
    </r>
    <r>
      <rPr>
        <vertAlign val="subscript"/>
        <sz val="10"/>
        <rFont val="Times New Roman"/>
        <family val="1"/>
        <charset val="204"/>
      </rPr>
      <t>1</t>
    </r>
  </si>
  <si>
    <r>
      <t>К</t>
    </r>
    <r>
      <rPr>
        <vertAlign val="subscript"/>
        <sz val="10"/>
        <rFont val="Times New Roman"/>
        <family val="1"/>
        <charset val="204"/>
      </rPr>
      <t>2</t>
    </r>
  </si>
  <si>
    <r>
      <t>К</t>
    </r>
    <r>
      <rPr>
        <vertAlign val="subscript"/>
        <sz val="10"/>
        <rFont val="Times New Roman"/>
        <family val="1"/>
        <charset val="204"/>
      </rPr>
      <t>р</t>
    </r>
  </si>
  <si>
    <t>Наименование ЗВ</t>
  </si>
  <si>
    <t>Код</t>
  </si>
  <si>
    <r>
      <t>М</t>
    </r>
    <r>
      <rPr>
        <vertAlign val="subscript"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г/с</t>
    </r>
  </si>
  <si>
    <r>
      <t>М</t>
    </r>
    <r>
      <rPr>
        <vertAlign val="sub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т/год</t>
    </r>
  </si>
  <si>
    <t>2026 год</t>
  </si>
  <si>
    <t>м3/год</t>
  </si>
  <si>
    <t>ПРС</t>
  </si>
  <si>
    <t>Снятие ПРС под устройство водосборной канавы и аккумулирующей емкости, t=0,3 м</t>
  </si>
  <si>
    <t xml:space="preserve">м3/час </t>
  </si>
  <si>
    <r>
      <t>q</t>
    </r>
    <r>
      <rPr>
        <vertAlign val="subscript"/>
        <sz val="10"/>
        <color indexed="8"/>
        <rFont val="Times New Roman"/>
        <family val="1"/>
        <charset val="204"/>
      </rPr>
      <t>уд</t>
    </r>
  </si>
  <si>
    <t>γ</t>
  </si>
  <si>
    <t>Е</t>
  </si>
  <si>
    <r>
      <t>К</t>
    </r>
    <r>
      <rPr>
        <vertAlign val="subscript"/>
        <sz val="10"/>
        <color indexed="8"/>
        <rFont val="Times New Roman"/>
        <family val="1"/>
        <charset val="204"/>
      </rPr>
      <t>э</t>
    </r>
  </si>
  <si>
    <r>
      <t>t</t>
    </r>
    <r>
      <rPr>
        <vertAlign val="subscript"/>
        <sz val="10"/>
        <color indexed="8"/>
        <rFont val="Times New Roman"/>
        <family val="1"/>
        <charset val="204"/>
      </rPr>
      <t>ц</t>
    </r>
  </si>
  <si>
    <r>
      <t>Т</t>
    </r>
    <r>
      <rPr>
        <vertAlign val="subscript"/>
        <sz val="10"/>
        <color indexed="8"/>
        <rFont val="Times New Roman"/>
        <family val="1"/>
        <charset val="204"/>
      </rPr>
      <t>г</t>
    </r>
  </si>
  <si>
    <r>
      <t>К</t>
    </r>
    <r>
      <rPr>
        <vertAlign val="subscript"/>
        <sz val="10"/>
        <color indexed="8"/>
        <rFont val="Times New Roman"/>
        <family val="1"/>
        <charset val="204"/>
      </rPr>
      <t>1</t>
    </r>
  </si>
  <si>
    <r>
      <t>К</t>
    </r>
    <r>
      <rPr>
        <vertAlign val="subscript"/>
        <sz val="10"/>
        <color indexed="8"/>
        <rFont val="Times New Roman"/>
        <family val="1"/>
        <charset val="204"/>
      </rPr>
      <t>2</t>
    </r>
  </si>
  <si>
    <t>z</t>
  </si>
  <si>
    <r>
      <t>М</t>
    </r>
    <r>
      <rPr>
        <vertAlign val="subscript"/>
        <sz val="10"/>
        <color indexed="8"/>
        <rFont val="Times New Roman"/>
        <family val="1"/>
        <charset val="204"/>
      </rPr>
      <t xml:space="preserve">  </t>
    </r>
    <r>
      <rPr>
        <sz val="10"/>
        <color indexed="8"/>
        <rFont val="Times New Roman"/>
        <family val="1"/>
        <charset val="204"/>
      </rPr>
      <t>г/с</t>
    </r>
  </si>
  <si>
    <r>
      <t>М</t>
    </r>
    <r>
      <rPr>
        <vertAlign val="subscript"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т/год</t>
    </r>
  </si>
  <si>
    <t>м3/час</t>
  </si>
  <si>
    <t xml:space="preserve">Устройство водосборной канавы и аккумулирующей емкости </t>
  </si>
  <si>
    <t>грунт</t>
  </si>
  <si>
    <t>Пыль неорг.с сод-м SiO2 70-20%</t>
  </si>
  <si>
    <t>N ист</t>
  </si>
  <si>
    <t>Наименование источника</t>
  </si>
  <si>
    <t>К1</t>
  </si>
  <si>
    <t>К2</t>
  </si>
  <si>
    <t>К3</t>
  </si>
  <si>
    <t>К4</t>
  </si>
  <si>
    <t>К5</t>
  </si>
  <si>
    <t>К6</t>
  </si>
  <si>
    <t>К7</t>
  </si>
  <si>
    <t>В'</t>
  </si>
  <si>
    <t>Gчас</t>
  </si>
  <si>
    <t>Gгод</t>
  </si>
  <si>
    <t>Загрязняющее вещество</t>
  </si>
  <si>
    <t>Код ЗВ</t>
  </si>
  <si>
    <t>n</t>
  </si>
  <si>
    <t>Результаты расчетов</t>
  </si>
  <si>
    <t>т/час</t>
  </si>
  <si>
    <t>т/год</t>
  </si>
  <si>
    <t>г/с</t>
  </si>
  <si>
    <t>-</t>
  </si>
  <si>
    <t>Пыль неорг. с содержанием SiO2 70-20 %</t>
  </si>
  <si>
    <t>2908</t>
  </si>
  <si>
    <t>Примечание: одновременно производится один вид работ</t>
  </si>
  <si>
    <t>Планировка и уплотнение основания водосборной канавы и аккумулирующей емкости</t>
  </si>
  <si>
    <t xml:space="preserve">Укладка в русло и на бортах водосборной канавы глинистого грунта </t>
  </si>
  <si>
    <t>глина</t>
  </si>
  <si>
    <t>плотность глины принята 2,7 т/м3</t>
  </si>
  <si>
    <t>Крепление дна, откосов и гребня аккумулирующей емкости, русла и бортов водосборной канавы крупнообломочным грунтом</t>
  </si>
  <si>
    <t>крупнообломочный грунт</t>
  </si>
  <si>
    <t>Засыпка дренажного коллектора, магистрального водоотводного коллектора, полимерных колодцев суглинистым грунтом</t>
  </si>
  <si>
    <t>суглинистый грунт</t>
  </si>
  <si>
    <t>Погрузка ПРС в автосамосвалы</t>
  </si>
  <si>
    <t>N</t>
  </si>
  <si>
    <t>q1</t>
  </si>
  <si>
    <t>L</t>
  </si>
  <si>
    <t>T</t>
  </si>
  <si>
    <t>М т/год</t>
  </si>
  <si>
    <t>Автомобиль-самосвал Isuzu</t>
  </si>
  <si>
    <t xml:space="preserve">Автомобиль-самосвал КАМАЗ-65802 </t>
  </si>
  <si>
    <t>Пыль неорг. с сод-м SiO2 70-20%</t>
  </si>
  <si>
    <t>К8</t>
  </si>
  <si>
    <t>К9</t>
  </si>
  <si>
    <t>G</t>
  </si>
  <si>
    <r>
      <t>G</t>
    </r>
    <r>
      <rPr>
        <vertAlign val="subscript"/>
        <sz val="9"/>
        <rFont val="Times New Roman"/>
        <family val="1"/>
        <charset val="204"/>
      </rPr>
      <t>1</t>
    </r>
  </si>
  <si>
    <t>q'</t>
  </si>
  <si>
    <t>F</t>
  </si>
  <si>
    <t>t</t>
  </si>
  <si>
    <t>Тс</t>
  </si>
  <si>
    <t>Тд</t>
  </si>
  <si>
    <t>ЗВ</t>
  </si>
  <si>
    <t>ч/сут</t>
  </si>
  <si>
    <t>Хранение</t>
  </si>
  <si>
    <t xml:space="preserve">Разгрузка с автосамосвалов </t>
  </si>
  <si>
    <t>Склад ПРС</t>
  </si>
  <si>
    <t>Формирование склада</t>
  </si>
  <si>
    <t>высота, м</t>
  </si>
  <si>
    <t xml:space="preserve">Примечание: </t>
  </si>
  <si>
    <t xml:space="preserve">Пыль неорган. 70-20% двуокиси кремния </t>
  </si>
  <si>
    <t>Устройство ограждающей дамбы 1-й очереди до отм. 120,00 м</t>
  </si>
  <si>
    <t>Снятие почвенно-растительного слоя, t=0,3 м</t>
  </si>
  <si>
    <t>Планировка и укатка основания</t>
  </si>
  <si>
    <t>2027 год</t>
  </si>
  <si>
    <t>2028 год</t>
  </si>
  <si>
    <t>Планировочные работы по телу ограждающей дамбы (включая съезды в ложе)</t>
  </si>
  <si>
    <t>Крепление технологического проезда в ложе из щебня</t>
  </si>
  <si>
    <t>щебень фракции 40-70 мм</t>
  </si>
  <si>
    <t>Устройство технологического проезда на гребне дамбы из щебеночно-гравийной смеси</t>
  </si>
  <si>
    <t>2032 год</t>
  </si>
  <si>
    <t>Устройство ограждающей дамбы 2-й очереди до отм. 124,00 м</t>
  </si>
  <si>
    <t>2033 год</t>
  </si>
  <si>
    <t>Крепление гребня и внешнего откоса ограждающей дамбы слоем щебня</t>
  </si>
  <si>
    <t>Устройство технологического проезда на гребне дамбы</t>
  </si>
  <si>
    <t>Крепление внутреннего откоса, гребня фильтрующей дамбы щебнем</t>
  </si>
  <si>
    <t>2037 год</t>
  </si>
  <si>
    <t>Устройство ограждающей дамбы 3-й очереди до отм. 128,00 м</t>
  </si>
  <si>
    <t>2038 год</t>
  </si>
  <si>
    <t>2042 год</t>
  </si>
  <si>
    <t>Устройство ограждающей дамбы 4-й очереди до отм. 132,00 м</t>
  </si>
  <si>
    <t>2043 год</t>
  </si>
  <si>
    <t>2044 год</t>
  </si>
  <si>
    <t>Крепление внутреннего откоса ограждающей дамбы камнем</t>
  </si>
  <si>
    <t>Крепление внешнего откоса фильтрующей дамбы камнем</t>
  </si>
  <si>
    <t>Устройство технологического проезда на гребне дамбы/фильтрующей дамбы</t>
  </si>
  <si>
    <t>2048 год</t>
  </si>
  <si>
    <t>Устройство ограждающей дамбы 5-й очереди до отм. 136,00 м</t>
  </si>
  <si>
    <t>2049 год</t>
  </si>
  <si>
    <t>2050 год</t>
  </si>
  <si>
    <t>2051 год</t>
  </si>
  <si>
    <t>Устройство технологического проезда на гребне фильтрующей дамбы</t>
  </si>
  <si>
    <t xml:space="preserve">Устройство аварийной емкости №1 </t>
  </si>
  <si>
    <t>Выемка грунта</t>
  </si>
  <si>
    <t>Устройство аварийной емкости №2</t>
  </si>
  <si>
    <t>Устройство аварийной емкости №3</t>
  </si>
  <si>
    <t>Устройство операторской</t>
  </si>
  <si>
    <t>Устройство щебёночного основания</t>
  </si>
  <si>
    <t xml:space="preserve">щебень </t>
  </si>
  <si>
    <t>Устройство диспетчерской</t>
  </si>
  <si>
    <t>Устройство проезда «Вспомогательный 5 _Круговая ШН»</t>
  </si>
  <si>
    <t>Срезка растительного грунта, h=0,3 м (вывоз и замещение грунтом)</t>
  </si>
  <si>
    <t>Устройство дорожных одежд из щебеночно-гравийных смесей</t>
  </si>
  <si>
    <t>щебеночно-гравийная смесь</t>
  </si>
  <si>
    <t>Укрепление обочин щебнем</t>
  </si>
  <si>
    <t>щебень</t>
  </si>
  <si>
    <t>Источник выброса</t>
  </si>
  <si>
    <t>Процесс</t>
  </si>
  <si>
    <t>Марка сварочного материала</t>
  </si>
  <si>
    <t>Расход  сварочных материалов</t>
  </si>
  <si>
    <t>КПД очистки, %</t>
  </si>
  <si>
    <t>Выбросы ЗВ</t>
  </si>
  <si>
    <t>кг/час</t>
  </si>
  <si>
    <t>кг/год</t>
  </si>
  <si>
    <t>Сварочные посты</t>
  </si>
  <si>
    <t>Э-42А (УОНИ-13/45)</t>
  </si>
  <si>
    <t>Фтористые газ.соед</t>
  </si>
  <si>
    <t>0342</t>
  </si>
  <si>
    <t>0</t>
  </si>
  <si>
    <t>Диоксид азота</t>
  </si>
  <si>
    <t>0301</t>
  </si>
  <si>
    <t>Марганец и его соед.</t>
  </si>
  <si>
    <t>0143</t>
  </si>
  <si>
    <t>Фториды</t>
  </si>
  <si>
    <t>0344</t>
  </si>
  <si>
    <t>Железа оксид</t>
  </si>
  <si>
    <t>0123</t>
  </si>
  <si>
    <t>Пыль неорг.с сод-м SiO2 70-20 %</t>
  </si>
  <si>
    <t>Оксид углерода</t>
  </si>
  <si>
    <t>0337</t>
  </si>
  <si>
    <t>Удел. выдел. G, г/кг</t>
  </si>
  <si>
    <t>Оборудование</t>
  </si>
  <si>
    <t>Т, ч/год</t>
  </si>
  <si>
    <t>Удельное выделение q, г/сварку</t>
  </si>
  <si>
    <t>Количество сварок N, шт/год</t>
  </si>
  <si>
    <t>Наименование загрязняющего вещества</t>
  </si>
  <si>
    <t>Выбросы загрязняющих веществ</t>
  </si>
  <si>
    <t>Углерода оксид</t>
  </si>
  <si>
    <t>Хлорэтилен /Винилхлорид/</t>
  </si>
  <si>
    <t>0827</t>
  </si>
  <si>
    <t xml:space="preserve"> Агрегаты для сварки геомембраны</t>
  </si>
  <si>
    <t>Аппарат клиной сварки для геомембраны</t>
  </si>
  <si>
    <t>Сварочная машина для полиэтиленовых труб</t>
  </si>
  <si>
    <t>Тип транспортного средства (мощность двигателя)</t>
  </si>
  <si>
    <t>Категория машин</t>
  </si>
  <si>
    <t xml:space="preserve">Номинальная мощность 
Двигателя, кВт
</t>
  </si>
  <si>
    <t xml:space="preserve"> Nkl</t>
  </si>
  <si>
    <t xml:space="preserve"> Nk</t>
  </si>
  <si>
    <t>Tхm, мин</t>
  </si>
  <si>
    <t>Txs,  мин</t>
  </si>
  <si>
    <t>Tv1</t>
  </si>
  <si>
    <t>Tv2</t>
  </si>
  <si>
    <t>Tv1n</t>
  </si>
  <si>
    <t>ML, г/мин</t>
  </si>
  <si>
    <t>Tv2n</t>
  </si>
  <si>
    <t>А</t>
  </si>
  <si>
    <t>Dn</t>
  </si>
  <si>
    <t>Мхх, г/мин.</t>
  </si>
  <si>
    <t>М1</t>
  </si>
  <si>
    <t>М2</t>
  </si>
  <si>
    <t>Мi, т/период</t>
  </si>
  <si>
    <t>M, г/с</t>
  </si>
  <si>
    <t>G, т/год</t>
  </si>
  <si>
    <t>Т</t>
  </si>
  <si>
    <t>Х</t>
  </si>
  <si>
    <t>П</t>
  </si>
  <si>
    <t>61-100</t>
  </si>
  <si>
    <t>Азота диоксид</t>
  </si>
  <si>
    <t>Азота оксид</t>
  </si>
  <si>
    <t>0304</t>
  </si>
  <si>
    <t>Серы диоксид</t>
  </si>
  <si>
    <t>0330</t>
  </si>
  <si>
    <t>Керосин</t>
  </si>
  <si>
    <t>2732</t>
  </si>
  <si>
    <t xml:space="preserve">Углерод </t>
  </si>
  <si>
    <t>0328</t>
  </si>
  <si>
    <t>101-160</t>
  </si>
  <si>
    <t>161-260</t>
  </si>
  <si>
    <t xml:space="preserve">Экскаватор </t>
  </si>
  <si>
    <t>Komatsu PC200-8M0</t>
  </si>
  <si>
    <t>Komatsu PC300-8</t>
  </si>
  <si>
    <t>Бульдозер</t>
  </si>
  <si>
    <t>Komatsu D85A-21</t>
  </si>
  <si>
    <t>Komatsu D275A-5</t>
  </si>
  <si>
    <t>свыше 260</t>
  </si>
  <si>
    <t>Каток</t>
  </si>
  <si>
    <t>Bomag BW 213 D-40</t>
  </si>
  <si>
    <t>Автомобиль-самосвал</t>
  </si>
  <si>
    <t xml:space="preserve"> Isuzu</t>
  </si>
  <si>
    <t>КАМАЗ-65802 (S5)</t>
  </si>
  <si>
    <t>Вибротрамбовка</t>
  </si>
  <si>
    <t xml:space="preserve">Dynapac LG200 грунтовая </t>
  </si>
  <si>
    <t>до 20</t>
  </si>
  <si>
    <t>Автобетоносмеситель</t>
  </si>
  <si>
    <t>58147А на шасси Камаз 65115</t>
  </si>
  <si>
    <t>36-60</t>
  </si>
  <si>
    <t>Автобетононасос</t>
  </si>
  <si>
    <t>СБ-126А</t>
  </si>
  <si>
    <t>Кран автомобильный</t>
  </si>
  <si>
    <t>КС-35715</t>
  </si>
  <si>
    <t>КС-55742</t>
  </si>
  <si>
    <t>Погрузчик</t>
  </si>
  <si>
    <t xml:space="preserve">Komatsu WA 420 </t>
  </si>
  <si>
    <t>Автомобиль</t>
  </si>
  <si>
    <t>SCANIA P-340</t>
  </si>
  <si>
    <t>Автомобиль - длинномер</t>
  </si>
  <si>
    <t>КАМАЗ 65116</t>
  </si>
  <si>
    <t>Автоманипулятор</t>
  </si>
  <si>
    <t>KANGLIM 1256G-II на шасси КАМАЗ 65117</t>
  </si>
  <si>
    <t>Топливозаправщик</t>
  </si>
  <si>
    <t>УРАЛ 5881  (АТЗ-10)</t>
  </si>
  <si>
    <t>Загрязняющие в-ва</t>
  </si>
  <si>
    <t>дизтопливо</t>
  </si>
  <si>
    <t>Сернистый ангидрид</t>
  </si>
  <si>
    <t>Углеводороды</t>
  </si>
  <si>
    <t>Формальдегид</t>
  </si>
  <si>
    <t>1325</t>
  </si>
  <si>
    <t>Углерод (Сажа)</t>
  </si>
  <si>
    <t>ДЭС-30 кВт     ЯМЗ Д-246 (РФ)</t>
  </si>
  <si>
    <t>Объект</t>
  </si>
  <si>
    <t>Наименование нефтепродукта</t>
  </si>
  <si>
    <t>Vс, м3/час</t>
  </si>
  <si>
    <r>
      <t>G</t>
    </r>
    <r>
      <rPr>
        <vertAlign val="superscript"/>
        <sz val="11"/>
        <color indexed="8"/>
        <rFont val="Times New Roman"/>
        <family val="1"/>
        <charset val="204"/>
      </rPr>
      <t>мах</t>
    </r>
    <r>
      <rPr>
        <vertAlign val="subscript"/>
        <sz val="11"/>
        <color indexed="8"/>
        <rFont val="Times New Roman"/>
        <family val="1"/>
        <charset val="204"/>
      </rPr>
      <t>б.а/м</t>
    </r>
  </si>
  <si>
    <t>Qоз, м3</t>
  </si>
  <si>
    <t>Qвл, м3</t>
  </si>
  <si>
    <t>J,г/м3</t>
  </si>
  <si>
    <t>Всего</t>
  </si>
  <si>
    <t>M1, г/с</t>
  </si>
  <si>
    <t>G1, т/год</t>
  </si>
  <si>
    <t>1</t>
  </si>
  <si>
    <t>2</t>
  </si>
  <si>
    <t>3</t>
  </si>
  <si>
    <t>4</t>
  </si>
  <si>
    <t>Заправка техники</t>
  </si>
  <si>
    <t>Дизтопливо</t>
  </si>
  <si>
    <t>Углеводороды С12-С19</t>
  </si>
  <si>
    <t>Сероводород</t>
  </si>
  <si>
    <t>0333</t>
  </si>
  <si>
    <t>0,28</t>
  </si>
  <si>
    <t>м3</t>
  </si>
  <si>
    <t>взяла 0,1 м от площади уплотнения и плотность 1,83 т/м3</t>
  </si>
  <si>
    <t>плотность 1,83 т/м3</t>
  </si>
  <si>
    <t xml:space="preserve">Выравнивание площадки </t>
  </si>
  <si>
    <t>ПРС (в отвал)</t>
  </si>
  <si>
    <t>площадь склада ПРС</t>
  </si>
  <si>
    <t>82300 м2</t>
  </si>
  <si>
    <t>Щебенистый грунт</t>
  </si>
  <si>
    <t>Суглинистый грунт</t>
  </si>
  <si>
    <t>местный грунт</t>
  </si>
  <si>
    <r>
      <t>С</t>
    </r>
    <r>
      <rPr>
        <vertAlign val="subscript"/>
        <sz val="10"/>
        <rFont val="Times New Roman"/>
        <family val="1"/>
        <charset val="204"/>
      </rPr>
      <t>1</t>
    </r>
  </si>
  <si>
    <r>
      <t>С</t>
    </r>
    <r>
      <rPr>
        <vertAlign val="subscript"/>
        <sz val="10"/>
        <rFont val="Times New Roman"/>
        <family val="1"/>
        <charset val="204"/>
      </rPr>
      <t>2</t>
    </r>
  </si>
  <si>
    <r>
      <t>С</t>
    </r>
    <r>
      <rPr>
        <vertAlign val="subscript"/>
        <sz val="10"/>
        <rFont val="Times New Roman"/>
        <family val="1"/>
        <charset val="204"/>
      </rPr>
      <t>3</t>
    </r>
  </si>
  <si>
    <r>
      <t>С</t>
    </r>
    <r>
      <rPr>
        <vertAlign val="subscript"/>
        <sz val="10"/>
        <rFont val="Times New Roman"/>
        <family val="1"/>
        <charset val="204"/>
      </rPr>
      <t>4</t>
    </r>
  </si>
  <si>
    <r>
      <t>С</t>
    </r>
    <r>
      <rPr>
        <vertAlign val="subscript"/>
        <sz val="10"/>
        <rFont val="Times New Roman"/>
        <family val="1"/>
        <charset val="204"/>
      </rPr>
      <t>5</t>
    </r>
  </si>
  <si>
    <r>
      <t>С</t>
    </r>
    <r>
      <rPr>
        <vertAlign val="subscript"/>
        <sz val="10"/>
        <rFont val="Times New Roman"/>
        <family val="1"/>
        <charset val="204"/>
      </rPr>
      <t>6</t>
    </r>
  </si>
  <si>
    <r>
      <t>С</t>
    </r>
    <r>
      <rPr>
        <vertAlign val="subscript"/>
        <sz val="10"/>
        <rFont val="Times New Roman"/>
        <family val="1"/>
        <charset val="204"/>
      </rPr>
      <t>7</t>
    </r>
  </si>
  <si>
    <r>
      <t>q</t>
    </r>
    <r>
      <rPr>
        <vertAlign val="superscript"/>
        <sz val="10"/>
        <rFont val="Times New Roman"/>
        <family val="1"/>
        <charset val="204"/>
      </rPr>
      <t>/</t>
    </r>
    <r>
      <rPr>
        <sz val="10"/>
        <rFont val="Times New Roman"/>
        <family val="1"/>
        <charset val="204"/>
      </rPr>
      <t>2</t>
    </r>
  </si>
  <si>
    <r>
      <t>F</t>
    </r>
    <r>
      <rPr>
        <vertAlign val="subscript"/>
        <sz val="10"/>
        <rFont val="Times New Roman"/>
        <family val="1"/>
        <charset val="204"/>
      </rPr>
      <t>0</t>
    </r>
  </si>
  <si>
    <t>Устройство дренажной насосной станции №1</t>
  </si>
  <si>
    <t>Устройство дренажной насосной станции №2</t>
  </si>
  <si>
    <t xml:space="preserve">Устройство плавучей насосной станции оборотного водоснабжения </t>
  </si>
  <si>
    <t>в генплане 380 588 м3</t>
  </si>
  <si>
    <t>Погрузка с отвала</t>
  </si>
  <si>
    <t>Земляные работы</t>
  </si>
  <si>
    <t>Транспортные работы</t>
  </si>
  <si>
    <t xml:space="preserve">Сварочные работы, в том числе сварка полиэтиленовых труб </t>
  </si>
  <si>
    <t>Сварочные работы</t>
  </si>
  <si>
    <t xml:space="preserve">Заправка техники топливозаправщиком </t>
  </si>
  <si>
    <t>Автотранспорт</t>
  </si>
  <si>
    <t>ШН</t>
  </si>
  <si>
    <t>дорога ГМЦ-ШН</t>
  </si>
  <si>
    <t>2029 год</t>
  </si>
  <si>
    <t>Досыпка растительного грунта на откосы</t>
  </si>
  <si>
    <t>1465 м3</t>
  </si>
  <si>
    <t>Таблица 2.2 - Расчет выбросов загрязняющих веществ при разработке грунта экскаваторами</t>
  </si>
  <si>
    <t>Таблица 2.3- Выбросы пыли в процессе проведения земляных работ</t>
  </si>
  <si>
    <t>Таблица 2.4 - Выбросы пыли при автотранспортных работах</t>
  </si>
  <si>
    <t>Таблица 2.5.2 – Выбросы пыли от временных складов</t>
  </si>
  <si>
    <t>Таблица 2.5.1. – Выбросы пыли от складов ПРС</t>
  </si>
  <si>
    <t>Таблица 2.6. - Выбросы загрязняющих веществ при сварочных работах</t>
  </si>
  <si>
    <t>Таблица 2.9 - Результаты расчетов выбросов от топливозаправщика</t>
  </si>
  <si>
    <t>ИЗ</t>
  </si>
  <si>
    <t>Таблица 2.7 - Результаты расчетов выбросов загрязняющих веществ при сварке полиэтиленовых труб</t>
  </si>
  <si>
    <t>Таблица 2.10 - Результаты расчета выбросов загрязняющих веществ от автотранспорта</t>
  </si>
  <si>
    <t>2. РАСЧЕТ ВЫБРОСОВ ЗАГРЯЗНЯЮЩИХ ВЕЩЕСТВ  ПРИ СТРОИТЕЛЬСТВЕ  ШЛАМОНАКОПИТЕЛЯ</t>
  </si>
  <si>
    <t>Список литературы:</t>
  </si>
  <si>
    <t>1. Методика расчета нормативов выбросов от неорганизованных источников. Астана, 2014 г.</t>
  </si>
  <si>
    <r>
      <t>М</t>
    </r>
    <r>
      <rPr>
        <b/>
        <vertAlign val="subscript"/>
        <sz val="14"/>
        <color rgb="FF000000"/>
        <rFont val="Times New Roman"/>
        <family val="1"/>
        <charset val="204"/>
      </rPr>
      <t xml:space="preserve">год </t>
    </r>
    <r>
      <rPr>
        <b/>
        <sz val="14"/>
        <color rgb="FF000000"/>
        <rFont val="Times New Roman"/>
        <family val="1"/>
        <charset val="204"/>
      </rPr>
      <t>= q</t>
    </r>
    <r>
      <rPr>
        <b/>
        <vertAlign val="subscript"/>
        <sz val="14"/>
        <color rgb="FF000000"/>
        <rFont val="Times New Roman"/>
        <family val="1"/>
        <charset val="204"/>
      </rPr>
      <t xml:space="preserve">уд </t>
    </r>
    <r>
      <rPr>
        <b/>
        <sz val="14"/>
        <color rgb="FF000000"/>
        <rFont val="Times New Roman"/>
        <family val="1"/>
        <charset val="204"/>
      </rPr>
      <t>х 3,6 х y х V х t</t>
    </r>
    <r>
      <rPr>
        <b/>
        <vertAlign val="subscript"/>
        <sz val="14"/>
        <color rgb="FF000000"/>
        <rFont val="Times New Roman"/>
        <family val="1"/>
        <charset val="204"/>
      </rPr>
      <t>cм</t>
    </r>
    <r>
      <rPr>
        <b/>
        <sz val="14"/>
        <color rgb="FF000000"/>
        <rFont val="Times New Roman"/>
        <family val="1"/>
        <charset val="204"/>
      </rPr>
      <t xml:space="preserve"> x n</t>
    </r>
    <r>
      <rPr>
        <b/>
        <vertAlign val="subscript"/>
        <sz val="14"/>
        <color rgb="FF000000"/>
        <rFont val="Times New Roman"/>
        <family val="1"/>
        <charset val="204"/>
      </rPr>
      <t>см</t>
    </r>
    <r>
      <rPr>
        <b/>
        <sz val="14"/>
        <color rgb="FF000000"/>
        <rFont val="Times New Roman"/>
        <family val="1"/>
        <charset val="204"/>
      </rPr>
      <t xml:space="preserve"> х 10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b/>
        <sz val="14"/>
        <color rgb="FF000000"/>
        <rFont val="Times New Roman"/>
        <family val="1"/>
        <charset val="204"/>
      </rPr>
      <t xml:space="preserve"> х К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 xml:space="preserve"> / t</t>
    </r>
    <r>
      <rPr>
        <b/>
        <vertAlign val="subscript"/>
        <sz val="14"/>
        <color rgb="FF000000"/>
        <rFont val="Times New Roman"/>
        <family val="1"/>
        <charset val="204"/>
      </rPr>
      <t>цб</t>
    </r>
    <r>
      <rPr>
        <b/>
        <sz val="14"/>
        <color rgb="FF000000"/>
        <rFont val="Times New Roman"/>
        <family val="1"/>
        <charset val="204"/>
      </rPr>
      <t xml:space="preserve"> х К</t>
    </r>
    <r>
      <rPr>
        <b/>
        <vertAlign val="subscript"/>
        <sz val="14"/>
        <color rgb="FF000000"/>
        <rFont val="Times New Roman"/>
        <family val="1"/>
        <charset val="204"/>
      </rPr>
      <t>р</t>
    </r>
    <r>
      <rPr>
        <b/>
        <sz val="14"/>
        <color rgb="FF000000"/>
        <rFont val="Times New Roman"/>
        <family val="1"/>
        <charset val="204"/>
      </rPr>
      <t xml:space="preserve"> x (1-z), т/год  </t>
    </r>
  </si>
  <si>
    <r>
      <t xml:space="preserve">t </t>
    </r>
    <r>
      <rPr>
        <vertAlign val="subscript"/>
        <sz val="12"/>
        <color rgb="FF000000"/>
        <rFont val="Times New Roman"/>
        <family val="1"/>
        <charset val="204"/>
      </rPr>
      <t>см</t>
    </r>
    <r>
      <rPr>
        <sz val="12"/>
        <color rgb="FF000000"/>
        <rFont val="Times New Roman"/>
        <family val="1"/>
        <charset val="204"/>
      </rPr>
      <t xml:space="preserve"> - чистое время работы бульдозера в смену, ч; </t>
    </r>
  </si>
  <si>
    <r>
      <t>V - объем призмы волочения, 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;</t>
    </r>
  </si>
  <si>
    <r>
      <t xml:space="preserve">t </t>
    </r>
    <r>
      <rPr>
        <vertAlign val="subscript"/>
        <sz val="12"/>
        <color rgb="FF000000"/>
        <rFont val="Times New Roman"/>
        <family val="1"/>
        <charset val="204"/>
      </rPr>
      <t>цб</t>
    </r>
    <r>
      <rPr>
        <sz val="12"/>
        <color rgb="FF000000"/>
        <rFont val="Times New Roman"/>
        <family val="1"/>
        <charset val="204"/>
      </rPr>
      <t xml:space="preserve"> - время цикла, с; </t>
    </r>
  </si>
  <si>
    <r>
      <t>n</t>
    </r>
    <r>
      <rPr>
        <vertAlign val="subscript"/>
        <sz val="12"/>
        <color rgb="FF000000"/>
        <rFont val="Times New Roman"/>
        <family val="1"/>
        <charset val="204"/>
      </rPr>
      <t xml:space="preserve">см </t>
    </r>
    <r>
      <rPr>
        <sz val="12"/>
        <color rgb="FF000000"/>
        <rFont val="Times New Roman"/>
        <family val="1"/>
        <charset val="204"/>
      </rPr>
      <t>- количество смен работы бульдозера в год;</t>
    </r>
  </si>
  <si>
    <t>z – коэффициент пылеподавления;</t>
  </si>
  <si>
    <r>
      <t>К</t>
    </r>
    <r>
      <rPr>
        <vertAlign val="subscript"/>
        <sz val="12"/>
        <color rgb="FF000000"/>
        <rFont val="Times New Roman"/>
        <family val="1"/>
        <charset val="204"/>
      </rPr>
      <t>р</t>
    </r>
    <r>
      <rPr>
        <sz val="12"/>
        <color rgb="FF000000"/>
        <rFont val="Times New Roman"/>
        <family val="1"/>
        <charset val="204"/>
      </rPr>
      <t xml:space="preserve"> – коэффициент разрыхления.</t>
    </r>
  </si>
  <si>
    <r>
      <t>М</t>
    </r>
    <r>
      <rPr>
        <b/>
        <vertAlign val="subscript"/>
        <sz val="14"/>
        <color rgb="FF000000"/>
        <rFont val="Times New Roman"/>
        <family val="1"/>
        <charset val="204"/>
      </rPr>
      <t xml:space="preserve">сек </t>
    </r>
    <r>
      <rPr>
        <b/>
        <sz val="14"/>
        <color rgb="FF000000"/>
        <rFont val="Times New Roman"/>
        <family val="1"/>
        <charset val="204"/>
      </rPr>
      <t>= [q</t>
    </r>
    <r>
      <rPr>
        <b/>
        <vertAlign val="subscript"/>
        <sz val="14"/>
        <color rgb="FF000000"/>
        <rFont val="Times New Roman"/>
        <family val="1"/>
        <charset val="204"/>
      </rPr>
      <t>уд</t>
    </r>
    <r>
      <rPr>
        <b/>
        <sz val="14"/>
        <color rgb="FF000000"/>
        <rFont val="Times New Roman"/>
        <family val="1"/>
        <charset val="204"/>
      </rPr>
      <t xml:space="preserve"> х y х V х К</t>
    </r>
    <r>
      <rPr>
        <b/>
        <vertAlign val="subscript"/>
        <sz val="14"/>
        <color rgb="FF000000"/>
        <rFont val="Times New Roman"/>
        <family val="1"/>
        <charset val="204"/>
      </rPr>
      <t>1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2</t>
    </r>
    <r>
      <rPr>
        <b/>
        <sz val="14"/>
        <color rgb="FF000000"/>
        <rFont val="Times New Roman"/>
        <family val="1"/>
        <charset val="204"/>
      </rPr>
      <t xml:space="preserve"> / t</t>
    </r>
    <r>
      <rPr>
        <b/>
        <vertAlign val="subscript"/>
        <sz val="14"/>
        <color rgb="FF000000"/>
        <rFont val="Times New Roman"/>
        <family val="1"/>
        <charset val="204"/>
      </rPr>
      <t>цб</t>
    </r>
    <r>
      <rPr>
        <b/>
        <sz val="14"/>
        <color rgb="FF000000"/>
        <rFont val="Times New Roman"/>
        <family val="1"/>
        <charset val="204"/>
      </rPr>
      <t xml:space="preserve"> х K</t>
    </r>
    <r>
      <rPr>
        <b/>
        <vertAlign val="subscript"/>
        <sz val="14"/>
        <color rgb="FF000000"/>
        <rFont val="Times New Roman"/>
        <family val="1"/>
        <charset val="204"/>
      </rPr>
      <t>p</t>
    </r>
    <r>
      <rPr>
        <b/>
        <sz val="14"/>
        <color rgb="FF000000"/>
        <rFont val="Times New Roman"/>
        <family val="1"/>
        <charset val="204"/>
      </rPr>
      <t xml:space="preserve">] x (1-z), г/с  </t>
    </r>
  </si>
  <si>
    <t xml:space="preserve">где   </t>
  </si>
  <si>
    <r>
      <t>q</t>
    </r>
    <r>
      <rPr>
        <vertAlign val="subscript"/>
        <sz val="12"/>
        <color rgb="FF000000"/>
        <rFont val="Times New Roman"/>
        <family val="1"/>
        <charset val="204"/>
      </rPr>
      <t>уд.б.</t>
    </r>
    <r>
      <rPr>
        <sz val="12"/>
        <color rgb="FF000000"/>
        <rFont val="Times New Roman"/>
        <family val="1"/>
        <charset val="204"/>
      </rPr>
      <t xml:space="preserve"> - удельное выделение твердых частиц с 1 т перемещаемого материала, г/т (таблица 19) [1]; </t>
    </r>
  </si>
  <si>
    <t>Данные для расчета выбросов  и результаты расчета приведены в таблице 2.1.</t>
  </si>
  <si>
    <t xml:space="preserve">   Максимальный из разовых выброс вредных веществ при разработке пород или отвалообразовании бульдозером в карьере рассчитывается по формуле.</t>
  </si>
  <si>
    <t xml:space="preserve">   Масса пыли, выделяющейся при разработке пород или отвалообразовании бульдозером, рассчитывается по формуле [1]:</t>
  </si>
  <si>
    <t xml:space="preserve">При работе экскаваторов пыль выделяется, главным образом, при погрузке материала в автосамосвалы. </t>
  </si>
  <si>
    <t>Тг - чистое время работы экскаватора в год, ч.;</t>
  </si>
  <si>
    <t>Кэ – коэффициент экскавации (таблица 18) [1];</t>
  </si>
  <si>
    <t>Данные для расчета выбросов и результаты расчета приведены в таблице 2.2.</t>
  </si>
  <si>
    <t xml:space="preserve">Мгод = qуд.э. (3,6 х y х Е х Кэ / tц) х Тр х К1 х K2 х 10-3 x (1-z), т/год  </t>
  </si>
  <si>
    <t xml:space="preserve">Мсек = [qуд х y х Е х Кэ х К1 х K2 /(1/3 tц)] x (1-z), г/с </t>
  </si>
  <si>
    <t>где:</t>
  </si>
  <si>
    <t>qуд.э. - удельное выделение твердых частиц (пыли) с 1 т отгружаемого (перегружаемого) материала, г/м3 (таблица 17) [1];</t>
  </si>
  <si>
    <t xml:space="preserve">Y - плотность пород, т/м3; </t>
  </si>
  <si>
    <t>Е - вместимость ковша экскаватора, м3;</t>
  </si>
  <si>
    <t>tц - время цикла экскаватора, с;</t>
  </si>
  <si>
    <t xml:space="preserve">K1 - коэффициент, учитывающий скорость ветра, (м/с),  </t>
  </si>
  <si>
    <t>К2 - коэффициент, учитывающий влажность материала.</t>
  </si>
  <si>
    <t>2.3. Расчет выбросов загрязняющих веществ при земляных работах</t>
  </si>
  <si>
    <t xml:space="preserve">Максимально-разовый выброс определяется согласно [1]: </t>
  </si>
  <si>
    <t>В' – коэффициент, учитывающий высоту пересыпки и принимаемый в соответствии с табл.7 [1]. Склады и хвостохранилища рассматриваются как равномерно распределенные источники пылевыделения.</t>
  </si>
  <si>
    <t>Валовый выброс при пересыпке определяется:</t>
  </si>
  <si>
    <t>k1 – весовая доля пылевой фракции в материале. Определяется путем отмывки и просева средней пробы с выделением фракции пыли размером 0-200 мкм соответствии с табл. 1 [1];</t>
  </si>
  <si>
    <t>k2 – доля пыли (от всей массы пыли), переходящая в аэрозоль соответствии с табл. 1 [1];</t>
  </si>
  <si>
    <t>k3 – коэффициент, учитывающий местные метеоусловия и принимаемый в соответствии с табл. 2 [1];</t>
  </si>
  <si>
    <t>k4 – коэффициент, учитывающий местные условия, степень защищенности узла от внешних воздействий, условия пылеобразования. Данные приведены в табл. 3 [1];</t>
  </si>
  <si>
    <t>k5 – коэффициент, учитывающий влажность материала и принимаемый в соответствии с данными табл. 4 [1];</t>
  </si>
  <si>
    <t>k7 – коэффициент, учитывающий крупность материала и принимаемый в соответствии с табл. 5 [1];</t>
  </si>
  <si>
    <t>G – суммарное количество перерабатываемого материала, т/ч;</t>
  </si>
  <si>
    <t>Мгод = К1 х К2 х К3 х К4 х К5 х К7 х G1 х В/, т/год</t>
  </si>
  <si>
    <t>Валовый выброс при пересыпке определяется  [1]:</t>
  </si>
  <si>
    <t>где</t>
  </si>
  <si>
    <t xml:space="preserve"> G1 – суммарное количество перерабатываемого материала, т/год. </t>
  </si>
  <si>
    <t>Данные для расчета выбросов и результаты расчета приведены в таблице 2.3.</t>
  </si>
  <si>
    <t>Наимено-вание материала</t>
  </si>
  <si>
    <t>2.4. Расчет выбросов загрязняющих веществ при транспортных работах</t>
  </si>
  <si>
    <t>Выброс неорганической пыли при транспортных работах определяется по формуле [1]:</t>
  </si>
  <si>
    <t>При определении выбросов в т/год используется выражение:</t>
  </si>
  <si>
    <t>N – число ходок (туда и обратно) всего транспорта в час;</t>
  </si>
  <si>
    <t>L – среднее расстояние транспортировки в пределах карьера, км;</t>
  </si>
  <si>
    <t>n – число автомашин, работающих в карьере;</t>
  </si>
  <si>
    <t>Т - время работы источника в году (автотранспорта).</t>
  </si>
  <si>
    <t>Данные для расчета выбросов и результаты расчета приведены в таблице 2.4.</t>
  </si>
  <si>
    <t>С1 – коэффициент, учитывающий среднюю грузоподъемность транспорта (табл.9) [1];</t>
  </si>
  <si>
    <t>Мсек = С1 х С2 х С3 х N х L x q1 x C6 x C7 / 3600 + С4 х С5 х С6 x Fo x n, г/с</t>
  </si>
  <si>
    <t>Мг = 3,6 х Q х Т / 1000, т/год</t>
  </si>
  <si>
    <t>C2 – коэффициент, учитывающий среднюю скорость транспорта (табл.10) [1];</t>
  </si>
  <si>
    <t>C3 – коэффициент, учитывающий состояние дорог (табл.11) [1];</t>
  </si>
  <si>
    <t>F0 – средняя площадь платформы, м2</t>
  </si>
  <si>
    <t>Значение С4 колеблется в пределах 1,3-1,6 в зависимости от крупности материала и степени заполнения платформы;</t>
  </si>
  <si>
    <t>С6 – коэффициент, учитывающий влажность поверхностного слоя материала, равный С6= k5 и принимаемый в соответствии с таблицей 4 [1];</t>
  </si>
  <si>
    <r>
      <t xml:space="preserve">C4 – коэффициент, учитывающий профиль поверхности материала на платформе и определяемый как соотношение  </t>
    </r>
    <r>
      <rPr>
        <sz val="14"/>
        <color rgb="FF000000"/>
        <rFont val="Times New Roman"/>
        <family val="1"/>
        <charset val="204"/>
      </rPr>
      <t>Fфакт/F</t>
    </r>
  </si>
  <si>
    <t>Fфакт.- фактическая площадь поверхность материала на платформе, м2;</t>
  </si>
  <si>
    <t>С5 – коэффициент, учитывающий скорость обдува (Vоб) материала (табл.12) [1],</t>
  </si>
  <si>
    <t>q1 – пылевыделение в атмосферу на 1 км пробега при С1, С2, С3=1, принимается равным 1450 г/км;</t>
  </si>
  <si>
    <t>q’ – пылевыделение с единицы фактической поверхности материала на платформе, г/м2хс (табл.6) [1];</t>
  </si>
  <si>
    <t>С7 – коэффициент, учитывающий долю пыли, уносимой в атмосферу и равный 0,01;</t>
  </si>
  <si>
    <t xml:space="preserve">    2.5. Расчет выбросов загрязняющих веществ при погрузочно-разгрузочных работах и хранении на отвалах и складах</t>
  </si>
  <si>
    <t>А – выбросы при переработке (ссыпка, перевалка, перемещение) материала, г/с;</t>
  </si>
  <si>
    <t>В – выбросы при статическом хранении материала;</t>
  </si>
  <si>
    <t>k1 – весовая доля пылевой фракции в материале. Определяется путем отмывки и просева средней пробы с выделением фракции пыли размером 0-200 мкм соответствии с таблицей 1 согласно приложению к настоящей Методике;</t>
  </si>
  <si>
    <t>k2 – доля пыли (от всей массы пыли), переходящая в аэрозоль соответствии с таблицей 1 согласно приложению к настоящей Методике;</t>
  </si>
  <si>
    <t>k3 – коэффициент, учитывающий местные метеоусловия и принимаемый в соответствии с таблицей 2 согласно приложению к настоящей Методике;</t>
  </si>
  <si>
    <t>k4 – коэффициент, учитывающий местные условия, степень защищенности узла от внешних воздействий, условия пылеобразования. Данные приведены в таблице 3 согласно приложению к настоящей Методике;</t>
  </si>
  <si>
    <t>k5 – коэффициент, учитывающий влажность материала и принимаемый в соответствии с данными таблицы 4 согласно приложению к настоящей Методике;</t>
  </si>
  <si>
    <t>k6 – коэффициент, учитывающий профиль поверхности складируемого материала и определяемым как соотношение Fфакт/F. Значение k6 колеблется в пределах 1,3-1,6 в зависимости от крупности материала и степени заполнения;</t>
  </si>
  <si>
    <t>k7 – коэффициент, учитывающий крупность материала и принимаемый в соответствии с таблицей 5 согласно приложению к настоящей Методике;</t>
  </si>
  <si>
    <t>Fфакт – фактическая поверхность материала с учетом рельефа его сечения (учитывать только площадь, на которой производятся погрузочно-разгрузочные работы);</t>
  </si>
  <si>
    <t>F – поверхность пыления в плане, м2;</t>
  </si>
  <si>
    <t xml:space="preserve">q' – унос пыли с одною квадратного метра фактической поверхности в условиях, когда k4=1; k5=1, принимается в соответствии с данными таблицы 6 согласно приложению к настоящей Методике; </t>
  </si>
  <si>
    <t>В' – коэффициент, учитывающий высоту пересыпки и принимаемый в соответствии с таблицей 7 согласно приложению к настоящей Методике. Склады и хвостохранилища рассматриваются как равномерно распределенные источники пылевыделения;</t>
  </si>
  <si>
    <t>Qг пересыпка = К1 х К2 х К3 х К4 х К5 х К7 х G1 х В’, т/год</t>
  </si>
  <si>
    <t xml:space="preserve">G1 – суммарное количество перерабатываемого материала, т/год </t>
  </si>
  <si>
    <t>Валовый выброс при хранении определяется:</t>
  </si>
  <si>
    <t>q хранение – максимально-разовый выброс при хранении, г/с;</t>
  </si>
  <si>
    <t>t – время хранения, ч/сут;</t>
  </si>
  <si>
    <t>Тс – годовое количество суток с устойчивым снежным покровом, сут;</t>
  </si>
  <si>
    <t>Тд – годовое количество суток с осадками в виде дождя, сут.</t>
  </si>
  <si>
    <t>Данные для расчета выбросов и результаты расчета приведены в таблице 2.5.1 и 2.5.2.</t>
  </si>
  <si>
    <t>1. Методика расчета выбросов загрязняющих веществ в атмосферу при сварочных работах (по величинам удельных выбросов) РНД 211.2.02.03-2004. Астана 2004.</t>
  </si>
  <si>
    <r>
      <t>M</t>
    </r>
    <r>
      <rPr>
        <b/>
        <vertAlign val="subscript"/>
        <sz val="12"/>
        <rFont val="Times New Roman"/>
        <family val="1"/>
        <charset val="204"/>
      </rPr>
      <t>год</t>
    </r>
    <r>
      <rPr>
        <b/>
        <sz val="12"/>
        <rFont val="Times New Roman"/>
        <family val="1"/>
        <charset val="204"/>
      </rPr>
      <t xml:space="preserve"> = В</t>
    </r>
    <r>
      <rPr>
        <b/>
        <vertAlign val="subscript"/>
        <sz val="12"/>
        <rFont val="Times New Roman"/>
        <family val="1"/>
        <charset val="204"/>
      </rPr>
      <t xml:space="preserve">г </t>
    </r>
    <r>
      <rPr>
        <b/>
        <sz val="12"/>
        <rFont val="Times New Roman"/>
        <family val="1"/>
        <charset val="204"/>
      </rPr>
      <t>× К</t>
    </r>
    <r>
      <rPr>
        <b/>
        <vertAlign val="subscript"/>
        <sz val="12"/>
        <rFont val="Times New Roman"/>
        <family val="1"/>
        <charset val="204"/>
      </rPr>
      <t>m</t>
    </r>
    <r>
      <rPr>
        <b/>
        <vertAlign val="superscript"/>
        <sz val="12"/>
        <rFont val="Times New Roman"/>
        <family val="1"/>
        <charset val="204"/>
      </rPr>
      <t>x</t>
    </r>
    <r>
      <rPr>
        <b/>
        <sz val="12"/>
        <rFont val="Times New Roman"/>
        <family val="1"/>
        <charset val="204"/>
      </rPr>
      <t xml:space="preserve"> /10</t>
    </r>
    <r>
      <rPr>
        <b/>
        <vertAlign val="superscript"/>
        <sz val="12"/>
        <rFont val="Times New Roman"/>
        <family val="1"/>
        <charset val="204"/>
      </rPr>
      <t>6</t>
    </r>
    <r>
      <rPr>
        <b/>
        <sz val="12"/>
        <rFont val="Times New Roman"/>
        <family val="1"/>
        <charset val="204"/>
      </rPr>
      <t xml:space="preserve"> х (1-n), т/год,</t>
    </r>
  </si>
  <si>
    <r>
      <t>M</t>
    </r>
    <r>
      <rPr>
        <b/>
        <vertAlign val="subscript"/>
        <sz val="12"/>
        <rFont val="Times New Roman"/>
        <family val="1"/>
        <charset val="204"/>
      </rPr>
      <t>сек</t>
    </r>
    <r>
      <rPr>
        <b/>
        <sz val="12"/>
        <rFont val="Times New Roman"/>
        <family val="1"/>
        <charset val="204"/>
      </rPr>
      <t xml:space="preserve"> = В</t>
    </r>
    <r>
      <rPr>
        <b/>
        <vertAlign val="subscript"/>
        <sz val="12"/>
        <rFont val="Times New Roman"/>
        <family val="1"/>
        <charset val="204"/>
      </rPr>
      <t xml:space="preserve">ч </t>
    </r>
    <r>
      <rPr>
        <b/>
        <sz val="12"/>
        <rFont val="Times New Roman"/>
        <family val="1"/>
        <charset val="204"/>
      </rPr>
      <t>× К</t>
    </r>
    <r>
      <rPr>
        <b/>
        <vertAlign val="subscript"/>
        <sz val="12"/>
        <rFont val="Times New Roman"/>
        <family val="1"/>
        <charset val="204"/>
      </rPr>
      <t>m</t>
    </r>
    <r>
      <rPr>
        <b/>
        <vertAlign val="superscript"/>
        <sz val="12"/>
        <rFont val="Times New Roman"/>
        <family val="1"/>
        <charset val="204"/>
      </rPr>
      <t>x</t>
    </r>
    <r>
      <rPr>
        <b/>
        <sz val="12"/>
        <rFont val="Times New Roman"/>
        <family val="1"/>
        <charset val="204"/>
      </rPr>
      <t xml:space="preserve"> / 3600 х (1-n), г/с,</t>
    </r>
  </si>
  <si>
    <r>
      <t>К</t>
    </r>
    <r>
      <rPr>
        <vertAlign val="subscript"/>
        <sz val="12"/>
        <rFont val="Times New Roman"/>
        <family val="1"/>
        <charset val="204"/>
      </rPr>
      <t>m</t>
    </r>
    <r>
      <rPr>
        <vertAlign val="superscript"/>
        <sz val="12"/>
        <rFont val="Times New Roman"/>
        <family val="1"/>
        <charset val="204"/>
      </rPr>
      <t>x</t>
    </r>
    <r>
      <rPr>
        <sz val="12"/>
        <rFont val="Times New Roman"/>
        <family val="1"/>
        <charset val="204"/>
      </rPr>
      <t xml:space="preserve"> - удельный показатель выделяемого загрязняющего вещества на 1 кг расходуемых сварочных материалов, г/кг;</t>
    </r>
  </si>
  <si>
    <t>Bч - масса расходуемого за час сварочного материала, кг/час;</t>
  </si>
  <si>
    <t>Bг - масса расходуемого за год сварочного материала, кг/год.</t>
  </si>
  <si>
    <t>n -степень очистки воздуха в соотвующем аппарате, которым снабжается группа технологических агрегатов, кг/год.</t>
  </si>
  <si>
    <t>2.6. Расчет выбросов загрязняющих веществ при проведении 
сварочных работ</t>
  </si>
  <si>
    <t xml:space="preserve">   При выполнении сварочных работ атмосферный воздух загрязняется сварочным аэрозолем, в состав которого, в зависимости от вида сварки, марок электродов и флюса, входят вредные для здоровья оксиды металлов (марганца, хрома и др.), газообразные (фтористые соединения, оксиды углерода, азота и др.). </t>
  </si>
  <si>
    <t xml:space="preserve">   Количество образующихся при сварке пыли и газов принято характеризовать валовыми выделениями, отнесенными к одному килограмму расходуемых материалов. Удельные валовые выделения приняты согласно методических указаний [1].</t>
  </si>
  <si>
    <t xml:space="preserve">   Определение количества выделяющихся вредных веществ (г/с, т/год) производится по формулам в зависимости от расхода электродов, [1]:</t>
  </si>
  <si>
    <t>Данные для расчета выбросов и результаты расчета приведены в таблице 2.6.</t>
  </si>
  <si>
    <t>2.7. Расчет выбросов при сварке полиээтиленовых труб</t>
  </si>
  <si>
    <t>1. Методика расчета выбросов загрязняющих веществ в атмосферу при работе с пластмассовыми материалами. Астана, 2014 г.</t>
  </si>
  <si>
    <t>Валовый выброс загрязняющих веществ определяется по формуле:</t>
  </si>
  <si>
    <t>q – удельное выделение загрязняющего вещества, на 1 сварку;</t>
  </si>
  <si>
    <t>Максимально разовый выброс загрязняющих веществ определяется по формуле:</t>
  </si>
  <si>
    <t>Т – время работы оборудования, час.</t>
  </si>
  <si>
    <t>G = q x N х 10-6, т/год,</t>
  </si>
  <si>
    <t>М = G x 106 / (T x 3600), г/с</t>
  </si>
  <si>
    <t>N – количество сварок в течение года;</t>
  </si>
  <si>
    <t xml:space="preserve">        </t>
  </si>
  <si>
    <t>2.9. Расчет выбросов загрязняющих веществ от заправки техники</t>
  </si>
  <si>
    <t>1. Методические указания расчета выбросов от предприятий, осуществляющих хранение и реализацию нефтепродуктов (нефтебазы, АЗС) и других жидкостей и газов. Астана, 2011.</t>
  </si>
  <si>
    <t xml:space="preserve">Для заправки автотракторной техники дизтопливом применяется топливозаправщик. </t>
  </si>
  <si>
    <t>Максимальные (разовые) выбросы при заполнении баков техники рассчитываются по формуле [1]:</t>
  </si>
  <si>
    <t>М б.а/м = (Сб.а/мmax х Vсл)/3600,  г/с</t>
  </si>
  <si>
    <t xml:space="preserve">где: </t>
  </si>
  <si>
    <t>Vсл – фактический максимальный расход топлива, м3/час;</t>
  </si>
  <si>
    <t xml:space="preserve">    </t>
  </si>
  <si>
    <t>Gтрк = Gб.а. + Gпр.а, т/год</t>
  </si>
  <si>
    <t xml:space="preserve">   Годовые выбросы паров нефтепродуктов при заправке рассчитываются как сумма выбросов из баков автомобилей и выбросов от проливов нефтепродуктов на поверхность по формуле [1]:</t>
  </si>
  <si>
    <t xml:space="preserve">       </t>
  </si>
  <si>
    <t xml:space="preserve">  Выброс загрязняющих веществ из баков автомобилей рассчитывается по формуле [1]:</t>
  </si>
  <si>
    <t>Gб.а = (Сбоз х Qоз + Сбвл х Qвл) х 10-6, т/год</t>
  </si>
  <si>
    <t>Сб.а./мmax – максимальная концентрация паров нефтепродуктов в выбросах паровоздушной смеси при заполнении баков техники, в зависимости от их конструкции и климатической зоны, в которой расположен объект, г/м3 (прилож.12 [1]).</t>
  </si>
  <si>
    <t xml:space="preserve">                </t>
  </si>
  <si>
    <t xml:space="preserve"> Сбоз, Сбвл – концентрация паров нефтепродуктов в выбросах паровоздушной смеси при заполнении баков автомобилей в осенне-зимний, весенне-летний период соответственно, г/м3 (согласно прилож. 15 [1]);</t>
  </si>
  <si>
    <t>Qоз, Qвл – количество закачиваемого в резервуар нефтепродукта в осенне-зимний,  весенне-летний период соответственно (м3).</t>
  </si>
  <si>
    <t xml:space="preserve">   Выброс загрязняющих веществ от проливов нефтепродуктов на поверхность от ТРК рассчитывается по формуле [1]:</t>
  </si>
  <si>
    <t>Gпр.а = 0,5 х J х ( Qоз +  Qвл) х 10-6,   т/год</t>
  </si>
  <si>
    <t xml:space="preserve">где:  </t>
  </si>
  <si>
    <t xml:space="preserve">   </t>
  </si>
  <si>
    <t>J – удельные выбросы при проливах, г/м3. Для автобензинов J = 125, для дизтоплива=50 [1];</t>
  </si>
  <si>
    <t xml:space="preserve">   Выбросы паров дизельного топлива по группам углеводородов (предельных и непредельных) и др. рассчитываются по формулам 5.2.4 и 5.2.5 [1]:</t>
  </si>
  <si>
    <r>
      <t>годовые выбросы i-го загрязняющего вещества:</t>
    </r>
    <r>
      <rPr>
        <b/>
        <sz val="14"/>
        <color theme="1"/>
        <rFont val="Times New Roman"/>
        <family val="1"/>
        <charset val="204"/>
      </rPr>
      <t xml:space="preserve"> Gi = G х Сi / 100, т/год</t>
    </r>
  </si>
  <si>
    <r>
      <t xml:space="preserve">максимальные выбросы i-го загрязняющего вещества:  </t>
    </r>
    <r>
      <rPr>
        <b/>
        <sz val="14"/>
        <color theme="1"/>
        <rFont val="Times New Roman"/>
        <family val="1"/>
        <charset val="204"/>
      </rPr>
      <t>Мi = М х Сi / 100, г/с</t>
    </r>
  </si>
  <si>
    <t>Сi - концентрация i-го загрязняющего вещества, % масс (приложение 14 [1]).</t>
  </si>
  <si>
    <t xml:space="preserve">   При расчете годовых выбросов учитываются выбросы из топливных баков автомобилей при их заправке, и при проливах за счет стекания нефтепродуктов со стенок заправочных и сливных шлангов.</t>
  </si>
  <si>
    <t xml:space="preserve">            Выброс загрязняющих веществ одной дорожной машиной данной группы в день при движении и работе на территории предприятия рассчитывается по формуле:</t>
  </si>
  <si>
    <t>М1 = МL x Tv1 + 1,3 x МL x Tv1n + Mxx x Txs, г</t>
  </si>
  <si>
    <t xml:space="preserve">             Максимальный разовый выброс от 1 машины данной группы рассчитывается по формуле:</t>
  </si>
  <si>
    <t xml:space="preserve">М1 = МL x Tv2 + 1,3 x МL x Tv2n + Mxx x Txm, г/30 мин </t>
  </si>
  <si>
    <t>2.10. Расчет выбросов ЗВ при  работе и движении техники по территории</t>
  </si>
  <si>
    <r>
      <t xml:space="preserve"> </t>
    </r>
    <r>
      <rPr>
        <b/>
        <sz val="12"/>
        <color theme="1"/>
        <rFont val="Times New Roman"/>
        <family val="1"/>
        <charset val="204"/>
      </rPr>
      <t>Список литературы:</t>
    </r>
    <r>
      <rPr>
        <sz val="12"/>
        <color theme="1"/>
        <rFont val="Times New Roman"/>
        <family val="1"/>
        <charset val="204"/>
      </rPr>
      <t xml:space="preserve">        </t>
    </r>
  </si>
  <si>
    <t>1. Методика расчета выбросов вредных веществ от предприятий дорожно-строительной отрасли, в том числе от асфальтобетонных заводов (приложение № 3 к приказу МООС РК от 18.04.2008 г. № 100-п).</t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</si>
  <si>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 xml:space="preserve">сек  =  M2 х Nkl / 1800, г/cек </t>
    </r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</si>
  <si>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1</t>
    </r>
    <r>
      <rPr>
        <b/>
        <sz val="14"/>
        <color theme="1"/>
        <rFont val="Times New Roman"/>
        <family val="1"/>
        <charset val="204"/>
      </rPr>
      <t>год =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 xml:space="preserve">m </t>
    </r>
    <r>
      <rPr>
        <b/>
        <sz val="14"/>
        <color theme="1"/>
        <rFont val="Times New Roman"/>
        <family val="1"/>
        <charset val="204"/>
      </rPr>
      <t>+ М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x</t>
    </r>
    <r>
      <rPr>
        <b/>
        <sz val="14"/>
        <color theme="1"/>
        <rFont val="Times New Roman"/>
        <family val="1"/>
        <charset val="204"/>
      </rPr>
      <t xml:space="preserve"> + M</t>
    </r>
    <r>
      <rPr>
        <b/>
        <vertAlign val="subscript"/>
        <sz val="14"/>
        <color theme="1"/>
        <rFont val="Times New Roman"/>
        <family val="1"/>
        <charset val="204"/>
      </rPr>
      <t>i</t>
    </r>
    <r>
      <rPr>
        <b/>
        <vertAlign val="superscript"/>
        <sz val="14"/>
        <color theme="1"/>
        <rFont val="Times New Roman"/>
        <family val="1"/>
        <charset val="204"/>
      </rPr>
      <t>n</t>
    </r>
    <r>
      <rPr>
        <b/>
        <sz val="14"/>
        <color theme="1"/>
        <rFont val="Times New Roman"/>
        <family val="1"/>
        <charset val="204"/>
      </rPr>
      <t>,  т/год</t>
    </r>
  </si>
  <si>
    <r>
      <t>М</t>
    </r>
    <r>
      <rPr>
        <b/>
        <vertAlign val="subscript"/>
        <sz val="14"/>
        <color theme="1"/>
        <rFont val="Times New Roman"/>
        <family val="1"/>
        <charset val="204"/>
      </rPr>
      <t>4</t>
    </r>
    <r>
      <rPr>
        <b/>
        <sz val="14"/>
        <color theme="1"/>
        <rFont val="Times New Roman"/>
        <family val="1"/>
        <charset val="204"/>
      </rPr>
      <t>год = А x М1 х Nk x Dn х 10-6,  т/год</t>
    </r>
  </si>
  <si>
    <t>год нормирования</t>
  </si>
  <si>
    <t>код ЗВ</t>
  </si>
  <si>
    <t>ИТОГО:</t>
  </si>
  <si>
    <t>№ ИЗ</t>
  </si>
  <si>
    <t>Наименование</t>
  </si>
  <si>
    <t>ИТОГО</t>
  </si>
  <si>
    <t>Устройство водосборной канавы и аккумулирующей емкости</t>
  </si>
  <si>
    <t>Устройство ограждающей дамбы и ложа</t>
  </si>
  <si>
    <t>Устройство плавучей насосной станции оборотного водоснабжения</t>
  </si>
  <si>
    <t>Устройство аварийной емкости №1</t>
  </si>
  <si>
    <t>Устройство проезда "Вспомогательный 5_Круговая ШН"</t>
  </si>
  <si>
    <t xml:space="preserve">Отвал ПРС </t>
  </si>
  <si>
    <t xml:space="preserve">ДЭС-30 кВт ЯМЗ Д-246 (Ф) </t>
  </si>
  <si>
    <t>ДЭС-50 кВт ММЗ Д-246 (Ф</t>
  </si>
  <si>
    <t>От автотранспорта (не нормируются)</t>
  </si>
  <si>
    <r>
      <t>Пыль неорг.с сод-м SiO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 xml:space="preserve"> 70-20%</t>
    </r>
  </si>
  <si>
    <t>Итого по ист.800103:</t>
  </si>
  <si>
    <t>Итого по ист.800101:</t>
  </si>
  <si>
    <t>Итого по ист.8002:</t>
  </si>
  <si>
    <t>8002</t>
  </si>
  <si>
    <t>Итого по ист.800401:</t>
  </si>
  <si>
    <t>Итого по ист.800402:</t>
  </si>
  <si>
    <t>Итого по ист.800403:</t>
  </si>
  <si>
    <t>Итого по ист.8005:</t>
  </si>
  <si>
    <t>Итого по ист.800602:</t>
  </si>
  <si>
    <t>Итого по ист.8010:</t>
  </si>
  <si>
    <t>Итого по ист.8014:</t>
  </si>
  <si>
    <t>Итого по ист.8021:</t>
  </si>
  <si>
    <t>Итого по ист.8022:</t>
  </si>
  <si>
    <t>Итого по ист.8024:</t>
  </si>
  <si>
    <t>Итого по ист.800102:</t>
  </si>
  <si>
    <t>Итого по ист.8011:</t>
  </si>
  <si>
    <t>СОДЕРЖАНИЕ</t>
  </si>
  <si>
    <t>СТР.</t>
  </si>
  <si>
    <t>Расчет выбросов загрязняющих веществ при транспортных работах….......................</t>
  </si>
  <si>
    <t>Расчет выбросов загрязняющих веществ при проведении сварочных работах…..</t>
  </si>
  <si>
    <t>Расчет выбросов загрязняющих веществ при работе дизельных установок…......................................…..</t>
  </si>
  <si>
    <t>Расчет выбросов ЗВ при  работе и движении техники по территории…............................</t>
  </si>
  <si>
    <t>2.1.</t>
  </si>
  <si>
    <t xml:space="preserve">   Масса пыли, выделяющейся при погрузки, рассчитывается по формуле [1]:</t>
  </si>
  <si>
    <t>2.2. Расчет выбросов загрязняющих веществ при погрузочных работах экскаватором</t>
  </si>
  <si>
    <t>2.2.</t>
  </si>
  <si>
    <t>2.3.</t>
  </si>
  <si>
    <t>2.4.</t>
  </si>
  <si>
    <t>2.5.</t>
  </si>
  <si>
    <t>2.6</t>
  </si>
  <si>
    <t>2.7</t>
  </si>
  <si>
    <t>2.8</t>
  </si>
  <si>
    <t>2.10</t>
  </si>
  <si>
    <t>Таблица 1- Нормируемые выбросы ЗВ от источников загрязнения при строительстве шламонакопителя</t>
  </si>
  <si>
    <t>Мсек = К1 х K2 х K3 х K4 х K5 х K7 х G х 1000000 х B/ 3600, г/с</t>
  </si>
  <si>
    <t>2.9</t>
  </si>
  <si>
    <r>
      <t>q= A + B =  К1 х K2 х K3 х K4 х K5 х K7 x В’х G х 10</t>
    </r>
    <r>
      <rPr>
        <b/>
        <vertAlign val="superscript"/>
        <sz val="12"/>
        <color theme="1"/>
        <rFont val="Times New Roman"/>
        <family val="1"/>
        <charset val="204"/>
      </rPr>
      <t xml:space="preserve">6 </t>
    </r>
    <r>
      <rPr>
        <b/>
        <sz val="12"/>
        <color theme="1"/>
        <rFont val="Times New Roman"/>
        <family val="1"/>
        <charset val="204"/>
      </rPr>
      <t>/ 3600  + K3 х K4 х K5 х K6 х K7 x q x F , г/с</t>
    </r>
  </si>
  <si>
    <r>
      <t>Qг хранения = qхранение х t х (365-Тс-Тд) х 3600 х 10</t>
    </r>
    <r>
      <rPr>
        <b/>
        <vertAlign val="superscript"/>
        <sz val="14"/>
        <color theme="1"/>
        <rFont val="Times New Roman"/>
        <family val="1"/>
        <charset val="204"/>
      </rPr>
      <t>-6</t>
    </r>
    <r>
      <rPr>
        <b/>
        <sz val="14"/>
        <color theme="1"/>
        <rFont val="Times New Roman"/>
        <family val="1"/>
        <charset val="204"/>
      </rPr>
      <t>, т/год</t>
    </r>
  </si>
  <si>
    <r>
      <t>Пыль неорг.с сод-м SiO</t>
    </r>
    <r>
      <rPr>
        <vertAlign val="sub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 xml:space="preserve"> 70-20%</t>
    </r>
  </si>
  <si>
    <t>Укладка глинистого грунта в аккумулирующей емкости, t=0,8 м</t>
  </si>
  <si>
    <t>глинистый грунт</t>
  </si>
  <si>
    <t>800301</t>
  </si>
  <si>
    <t xml:space="preserve">Разработка местного грунта для устройства водосборной канавы и аккумулирующей емкости </t>
  </si>
  <si>
    <t xml:space="preserve">Разработка местного грунта для устройства дренажной системы  </t>
  </si>
  <si>
    <t xml:space="preserve">Крепление внутреннего откоса фильтрующей дамбы щебнем </t>
  </si>
  <si>
    <t xml:space="preserve">Крепление внутреннего откоса и гребня фильтрующей дамбы щебнем </t>
  </si>
  <si>
    <t>Крепление гребня фильтрующей дамбы слоем щебня</t>
  </si>
  <si>
    <r>
      <t>Пыль неорг.с сод-м SiO</t>
    </r>
    <r>
      <rPr>
        <vertAlign val="sub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70-20%</t>
    </r>
  </si>
  <si>
    <r>
      <t>Пыль неорг.с сод-м SiO</t>
    </r>
    <r>
      <rPr>
        <b/>
        <vertAlign val="sub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 xml:space="preserve"> 70-20%</t>
    </r>
  </si>
  <si>
    <t>802001</t>
  </si>
  <si>
    <t>Итого по ист.802001:</t>
  </si>
  <si>
    <t>802002</t>
  </si>
  <si>
    <t>Итого по ист.802002:</t>
  </si>
  <si>
    <t>8021</t>
  </si>
  <si>
    <t>Итого по ист.802003:</t>
  </si>
  <si>
    <t>Планировка территории (земляные работы) насыпь из местного грунта</t>
  </si>
  <si>
    <t>Устройство присыпных обочин из местного грунта</t>
  </si>
  <si>
    <t>Устройство съезда №1 ШН 1-ый ярус</t>
  </si>
  <si>
    <t>Планировка территории (земляные работы), насыпь из местного грунта</t>
  </si>
  <si>
    <t>Устройство присыпных обочин, насыпь из местного грунта</t>
  </si>
  <si>
    <t>Устройство дорожной одежды</t>
  </si>
  <si>
    <t>Устройство съезда №2 ШН 1-ый ярус</t>
  </si>
  <si>
    <t>2001</t>
  </si>
  <si>
    <t>2002</t>
  </si>
  <si>
    <t>Временные площадки грунтов</t>
  </si>
  <si>
    <t>Площадка временного складирования щебенистого грунта №4 (S=5000 м2)</t>
  </si>
  <si>
    <t>Итого по ист.8027:</t>
  </si>
  <si>
    <t>высота 5 м</t>
  </si>
  <si>
    <t>Итого по ист.8028:</t>
  </si>
  <si>
    <t>Погрузка с площадки</t>
  </si>
  <si>
    <t xml:space="preserve">Укладка в штабель, формирование </t>
  </si>
  <si>
    <t>Итого по ист.8030:</t>
  </si>
  <si>
    <t>*в последующий год данный объем ПРС подлежит самозарастанию, последующее складирование ПРС осуществляется рядом с ранее заскладированным объемом.</t>
  </si>
  <si>
    <t>Примечание: п.2.5 "Методики расчета выбросов загрязняющих веществ в атмосферу от предприятий по производству строительных материалов" (Приложение №11к Приказу  Министра охраны окружающей среды Республики Казахстан от «18» 04 2008 года №100 -п) при статическом хранении и пересыпке песка с влажностью 3% и более выбросы пыли принимаются равными 0. Для других сыпучих строительных материалов пыление при статическом хранении и пересыпке принимается равным 0 при влажности ≥20%.</t>
  </si>
  <si>
    <r>
      <t>G</t>
    </r>
    <r>
      <rPr>
        <vertAlign val="subscript"/>
        <sz val="9"/>
        <color theme="1"/>
        <rFont val="Times New Roman"/>
        <family val="1"/>
        <charset val="204"/>
      </rPr>
      <t>1</t>
    </r>
  </si>
  <si>
    <t>Итого по ист.8026:</t>
  </si>
  <si>
    <t>8026*</t>
  </si>
  <si>
    <t>плотность щебня 2,8 т/м3</t>
  </si>
  <si>
    <t>плотность принята 2,8 т/м3</t>
  </si>
  <si>
    <t>плотность щебня принята 2,8 т/м3</t>
  </si>
  <si>
    <r>
      <t xml:space="preserve">Примечание: п.2.5 "Методики расчета выбросов загрязняющих веществ в атмосферу от предприятий по производству строительных материалов" (Приложение №11к Приказу  Министра охраны окружающей среды Республики Казахстан от «18» 04 2008 года №100 -п) при статическом хранении и пересыпке песка с влажностью 3% и более выбросы пыли принимаются равными 0. Для других сыпучих строительных материалов пыление при статическом хранении и пересыпке принимается равным 0 при влажности </t>
    </r>
    <r>
      <rPr>
        <sz val="10"/>
        <color theme="1"/>
        <rFont val="Calibri"/>
        <family val="2"/>
        <charset val="204"/>
      </rPr>
      <t>≥</t>
    </r>
    <r>
      <rPr>
        <sz val="10"/>
        <color theme="1"/>
        <rFont val="Times New Roman"/>
        <family val="1"/>
        <charset val="204"/>
      </rPr>
      <t>20%.</t>
    </r>
  </si>
  <si>
    <t>Площадка временного складирования щебенистого грунта №4</t>
  </si>
  <si>
    <t xml:space="preserve">•	Площадка временного складирования суглинистого грунта №6 </t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</si>
  <si>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Устройство водосборной канавы и аккумулирующей емкости: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</si>
  <si>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(ист.8001);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</si>
  <si>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(ист.8002);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</si>
  <si>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и геомембраны (ист.8003).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</si>
  <si>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ограждающей дамбы и ложа: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</si>
  <si>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(ист.8004);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</si>
  <si>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(ист.8005);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</si>
  <si>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и геомембраны (ист.8006).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</si>
  <si>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Устройство плавучей насосной станции оборотного водоснабжения: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</si>
  <si>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(ист.8007).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</si>
  <si>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дренажной насосной станции №1: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</si>
  <si>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(ист.8008).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</si>
  <si>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дренажной насосной станции №2: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</si>
  <si>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 (ист.8009).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</si>
  <si>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аварийной емкости №1: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</si>
  <si>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(ист.8010);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</si>
  <si>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(ист.8011).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</si>
  <si>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аварийной емкости №2: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</si>
  <si>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(ист.8012);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</si>
  <si>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(ист.8013).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</si>
  <si>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аварийной емкости №3: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</si>
  <si>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(ист.8014);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</si>
  <si>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сварочные работы, в том числе сварка полиэтиленовых труб (ист.8015).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</si>
  <si>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операторской: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</si>
  <si>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(ист.8016);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</si>
  <si>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(ист.8017).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</si>
  <si>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(ист.8019).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</si>
  <si>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Устройство диспетчерской: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</si>
  <si>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(ист.8018).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</si>
  <si>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 </t>
    </r>
    <r>
      <rPr>
        <i/>
        <u/>
        <sz val="14"/>
        <color theme="1"/>
        <rFont val="Times New Roman"/>
        <family val="1"/>
        <charset val="204"/>
      </rPr>
      <t>Устройство проезда «Вспомогательный 5_Круговая ШН»: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</si>
  <si>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(ист.8020);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</si>
  <si>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(ист.8021).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</si>
  <si>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(ист.8022);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</si>
  <si>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(ист.8023).</t>
    </r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</si>
  <si>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u/>
        <sz val="14"/>
        <color theme="1"/>
        <rFont val="Times New Roman"/>
        <family val="1"/>
        <charset val="204"/>
      </rPr>
      <t xml:space="preserve">	Устройство съезда №1 ШН 1-ый ярус:</t>
    </r>
  </si>
  <si>
    <r>
      <t>·</t>
    </r>
    <r>
      <rPr>
        <sz val="7"/>
        <color theme="1"/>
        <rFont val="Times New Roman"/>
        <family val="1"/>
        <charset val="204"/>
      </rPr>
      <t>     </t>
    </r>
    <r>
      <rPr>
        <i/>
        <u/>
        <sz val="14"/>
        <color theme="1"/>
        <rFont val="Times New Roman"/>
        <family val="1"/>
        <charset val="204"/>
      </rPr>
      <t xml:space="preserve">	Устройство съезда №2 ШН 1-ый ярус: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</si>
  <si>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земляные работы (ист.8024);</t>
    </r>
  </si>
  <si>
    <r>
      <t>Ø</t>
    </r>
    <r>
      <rPr>
        <sz val="7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транспортные работы (ист.8025).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</si>
  <si>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Отвал ПРС (ист.8026).</t>
    </r>
  </si>
  <si>
    <r>
      <t>·</t>
    </r>
    <r>
      <rPr>
        <sz val="7"/>
        <color theme="1"/>
        <rFont val="Times New Roman"/>
        <family val="1"/>
        <charset val="204"/>
      </rPr>
      <t>    </t>
    </r>
    <r>
      <rPr>
        <i/>
        <u/>
        <sz val="14"/>
        <color theme="1"/>
        <rFont val="Times New Roman"/>
        <family val="1"/>
        <charset val="204"/>
      </rPr>
      <t xml:space="preserve">	Площадка временного складирования щебенистого грунта №4 (S=5000 м2) (ист.8027).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</si>
  <si>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 xml:space="preserve">	Заправка техники топливозаправщиком (ист.8029).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</si>
  <si>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Автотранспорт (ист.8030).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</si>
  <si>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ДЭС-30 кВт ЯМЗ Д-246 (Ф) (ист.2001).</t>
    </r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</si>
  <si>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>ДЭС-50 кВт ММЗ Д-246 (Ф) (ист.2002).</t>
    </r>
  </si>
  <si>
    <t xml:space="preserve">   Основными источниками загрязнения атмосферы вредными веществами на период строительства шламонакопителя будут являться:</t>
  </si>
  <si>
    <t>Расчет выбросов загрязняющих веществ при погрузочных работах экскаватором</t>
  </si>
  <si>
    <t xml:space="preserve"> Выбросы пыли при работе бульдозера при снятии ПСП и ПРС  ..............................</t>
  </si>
  <si>
    <t>Расчет выбросов загрязняющих веществ при земляных работах…...........................</t>
  </si>
  <si>
    <t>Сбоз, г/м3</t>
  </si>
  <si>
    <t>Сбвл, г/м3</t>
  </si>
  <si>
    <t>% содер-жания</t>
  </si>
  <si>
    <t>Расчет выбросов загрязняющих веществ при погрузочно-разгрузочных работах и хранении на отвалах и складах…..................................................................................</t>
  </si>
  <si>
    <t>Расчет выбросов при сварке полиэтиленовых труб…............................................…..</t>
  </si>
  <si>
    <t>Расчет выбросов загрязняющих веществ от заправки техники…...............................</t>
  </si>
  <si>
    <t>Список литературы</t>
  </si>
  <si>
    <t>1. РНД 211.2.02.04-2004. Методика расчета выбросов загрязняющих веществ в атмосферу от стационарных дизельных установок.</t>
  </si>
  <si>
    <t xml:space="preserve">Количество выбрасываемых загрязняющих веществ определяется по формулам [1]: </t>
  </si>
  <si>
    <t>Мсек =   Kвр х ei х Рэ /3600, г/с</t>
  </si>
  <si>
    <t>Мгод =   Kвр х qi х Bгод/1000, т/год</t>
  </si>
  <si>
    <t xml:space="preserve">      Pэ – эксплуатационная мощность стационарной дизельной установки,  кВт;</t>
  </si>
  <si>
    <t xml:space="preserve">      Вгод – расход топлива стационарной дизельной установкой за год, т.</t>
  </si>
  <si>
    <t>Наименование источника загрязнения</t>
  </si>
  <si>
    <t>Применяемое топлива</t>
  </si>
  <si>
    <t>Группа установки</t>
  </si>
  <si>
    <t>Количество техники</t>
  </si>
  <si>
    <t>Эксплуата-ционная мощьность Рэ, кВт</t>
  </si>
  <si>
    <t>Расход  топлива, т/год</t>
  </si>
  <si>
    <t>Удельное выделение</t>
  </si>
  <si>
    <t>Выбросы</t>
  </si>
  <si>
    <t>всего</t>
  </si>
  <si>
    <t xml:space="preserve">в одновре-менной работе  Kвр </t>
  </si>
  <si>
    <t>ei , гкВт/ч.</t>
  </si>
  <si>
    <t>qi , г/кг</t>
  </si>
  <si>
    <t>Углерод черный</t>
  </si>
  <si>
    <t>Бенз(а)пирен</t>
  </si>
  <si>
    <t>0703</t>
  </si>
  <si>
    <t xml:space="preserve">ДЭС-50 кВт              ММЗ Д-246 (Ф) </t>
  </si>
  <si>
    <t>2.8 Расчет выбросов загрязняющих веществ от дизельных установок</t>
  </si>
  <si>
    <t>Таблица 2.8 - Выбросы загрязняющих вещест от дизельных электростанций .</t>
  </si>
  <si>
    <t>с учетом авто</t>
  </si>
  <si>
    <t>2.1. Расчет выбросов пыли  при снятии ПРС бульдозером</t>
  </si>
  <si>
    <t>Таблица 2.1 –Расчет выбросов пыли  при снятии ПРС бульдозером</t>
  </si>
  <si>
    <t>2.5.1</t>
  </si>
  <si>
    <t>Расчет выбросов загрязняющих веществ от складов ПРС…......................................</t>
  </si>
  <si>
    <t>2.5.2</t>
  </si>
  <si>
    <t>Расчет выбросов загрязняющих веществ от временных складов…..........................</t>
  </si>
  <si>
    <t>Исходные данные и результаты расчета выбросов загрязняющих веществ  приведены в таблице 2.7.</t>
  </si>
  <si>
    <r>
      <t xml:space="preserve">      K</t>
    </r>
    <r>
      <rPr>
        <vertAlign val="subscript"/>
        <sz val="12"/>
        <color theme="1"/>
        <rFont val="Times New Roman"/>
        <family val="1"/>
        <charset val="204"/>
      </rPr>
      <t>вр</t>
    </r>
    <r>
      <rPr>
        <sz val="12"/>
        <color theme="1"/>
        <rFont val="Times New Roman"/>
        <family val="1"/>
        <charset val="204"/>
      </rPr>
      <t xml:space="preserve"> - количество станков в одновременной работе</t>
    </r>
  </si>
  <si>
    <t xml:space="preserve">где </t>
  </si>
  <si>
    <t xml:space="preserve">  ei – выброс i-го вредного вещества на единицу полезной работы стационарной дизельной    установки на режиме номинальной мощности, г/Квт ч;</t>
  </si>
  <si>
    <t>Исходные данные и результаты расчета выбросов загрязняющих веществ  приведены в таблице 2.8.</t>
  </si>
  <si>
    <t xml:space="preserve">      qi – выброс i-го вредного вещества, г/кг топлива;</t>
  </si>
  <si>
    <t>Данные для расчета и результаты расчета выбросов вредных веществ представлены в таблице 2.9.</t>
  </si>
  <si>
    <t xml:space="preserve">   Данные для расчета и результаты расчета выбросов вредных веществ  представлены в таблице 2.10.</t>
  </si>
  <si>
    <t xml:space="preserve"> ML   - удельный выброс при движении по территории предприятия с условно постоянной скоростью, г/мин;</t>
  </si>
  <si>
    <t>Tv1 -  суммарное время движения машины без нагрузки в день, мин.;</t>
  </si>
  <si>
    <t>Tv1n - суммарное время движения машины под нагрузкой в день, мин.;</t>
  </si>
  <si>
    <t>Mxx - удельный выброс вещества при работе двигателя на холостом ходу, г/мин.;</t>
  </si>
  <si>
    <t>Txs -  суммарное время работы двигателя на холостом ходу в день, мин.</t>
  </si>
  <si>
    <t>Tv2 - максимальное время движения машины без нагрузки в течение 30 мин.;</t>
  </si>
  <si>
    <t>Tv2n, Txm - максимальное время  работы под нагрузкой и на холостом ходу  в течение 30 мин.</t>
  </si>
  <si>
    <t>A  - коэффициент выпуска (выезда);</t>
  </si>
  <si>
    <t>Nk - общее количество автомобилей данной группы;</t>
  </si>
  <si>
    <t>Dn - количество рабочих дней в расчетном периоде (теплый, переходный, холодный).</t>
  </si>
  <si>
    <t xml:space="preserve">     Максимальный разовый выброс от автотракторной техники (дорожных машин) данной группы рассчитывается по формуле:</t>
  </si>
  <si>
    <t xml:space="preserve">     Валовый выброс вещества автотракторной техники (дорожными машинами) данной группы рассчитывается раздельно для каждого периода по формуле:</t>
  </si>
  <si>
    <t xml:space="preserve">   Для определения общего валового выброса M1год валовые выбросы одноименных веществ по периодам года суммируются:</t>
  </si>
  <si>
    <t>Nk1 - наибольшее количество машин данной группы, двигающихся (работающих) в течение получаса.</t>
  </si>
  <si>
    <t>Из полученных значений М1сек для разных групп автомобилей и расчетных периодов выбирается максимальное.</t>
  </si>
  <si>
    <t>плотность грунта принята 1,7 т/м3</t>
  </si>
  <si>
    <t>Отсыпка тела ограждающей дамбы из крупнообломочного грунта</t>
  </si>
  <si>
    <t>Устройство защитного слоя в ложе</t>
  </si>
  <si>
    <t>камень/крупнообломочный грунт</t>
  </si>
  <si>
    <t>Устройство фильтрующей дамбы из крупнообломочного грунта</t>
  </si>
  <si>
    <t>Крепление внутреннего откоса ограждающей дамбы камнем, крепление внешнего откоса фильтрующей дамбы</t>
  </si>
  <si>
    <t>Крепление внешнего откосафильтрующей дамбы камнем</t>
  </si>
  <si>
    <t>Крепление откосов фильтрующей дамбы из крупнообломочного грунта</t>
  </si>
  <si>
    <t>Крупнообломочный грунт</t>
  </si>
  <si>
    <t>8005</t>
  </si>
  <si>
    <t>Планировка и уплотнение грунтового основания</t>
  </si>
  <si>
    <t xml:space="preserve">Площадка временного складирования суглинистого грунта №7 (S=5000 м2) </t>
  </si>
  <si>
    <t>Площадка временного складирования крупнообломочного грунта №6 (S=10000 м2)</t>
  </si>
  <si>
    <t>Итого по ист.8031:</t>
  </si>
  <si>
    <t>плотность принята 1,7 т/м3</t>
  </si>
  <si>
    <t>Площадка временного складирования крупнообломочного грунта №6 (S=20000 м2)</t>
  </si>
  <si>
    <t>Итого по ист.8032:</t>
  </si>
  <si>
    <t>Площадка временного складирования крупнообломочного грунта №6 (S=2000 м2)</t>
  </si>
  <si>
    <t>Итого по ист.8033:</t>
  </si>
  <si>
    <r>
      <t>·</t>
    </r>
    <r>
      <rPr>
        <sz val="7"/>
        <color theme="1"/>
        <rFont val="Times New Roman"/>
        <family val="1"/>
        <charset val="204"/>
      </rPr>
      <t xml:space="preserve">     </t>
    </r>
    <r>
      <rPr>
        <i/>
        <u/>
        <sz val="14"/>
        <color theme="1"/>
        <rFont val="Times New Roman"/>
        <family val="1"/>
        <charset val="204"/>
      </rPr>
      <t xml:space="preserve">	Площадка временного складирования суглинистого грунта №7 (S=5000 м2) (ист.8028).</t>
    </r>
  </si>
  <si>
    <r>
      <t>·</t>
    </r>
    <r>
      <rPr>
        <sz val="7"/>
        <color theme="1"/>
        <rFont val="Times New Roman"/>
        <family val="1"/>
        <charset val="204"/>
      </rPr>
      <t>    </t>
    </r>
    <r>
      <rPr>
        <i/>
        <u/>
        <sz val="14"/>
        <color theme="1"/>
        <rFont val="Times New Roman"/>
        <family val="1"/>
        <charset val="204"/>
      </rPr>
      <t xml:space="preserve">	Площадка временного складирования крупнообломочного грунта №6 (S=10000 м2) (ист.8031).</t>
    </r>
  </si>
  <si>
    <r>
      <t>·</t>
    </r>
    <r>
      <rPr>
        <sz val="7"/>
        <color theme="1"/>
        <rFont val="Times New Roman"/>
        <family val="1"/>
        <charset val="204"/>
      </rPr>
      <t>    </t>
    </r>
    <r>
      <rPr>
        <i/>
        <u/>
        <sz val="14"/>
        <color theme="1"/>
        <rFont val="Times New Roman"/>
        <family val="1"/>
        <charset val="204"/>
      </rPr>
      <t xml:space="preserve">	Площадка временного складирования крупнообломочного грунта №6 (S=20000 м2) (ист.8032).</t>
    </r>
  </si>
  <si>
    <r>
      <t>·</t>
    </r>
    <r>
      <rPr>
        <sz val="7"/>
        <color theme="1"/>
        <rFont val="Times New Roman"/>
        <family val="1"/>
        <charset val="204"/>
      </rPr>
      <t>    </t>
    </r>
    <r>
      <rPr>
        <i/>
        <u/>
        <sz val="14"/>
        <color theme="1"/>
        <rFont val="Times New Roman"/>
        <family val="1"/>
        <charset val="204"/>
      </rPr>
      <t xml:space="preserve">	Площадка временного складирования крупнообломочного грунта №6 (S=2000 м2) (ист.8033).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</si>
</sst>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000"/>
    <numFmt numFmtId="166" formatCode="0.0000000000"/>
  </numFmts>
  <fonts count="10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.5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bscript"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vertAlign val="sub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vertAlign val="superscript"/>
      <sz val="14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vertAlign val="subscript"/>
      <sz val="14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9" tint="-0.499984740745262"/>
      <name val="Calibri"/>
      <family val="2"/>
      <charset val="204"/>
      <scheme val="minor"/>
    </font>
    <font>
      <sz val="10"/>
      <color rgb="FF7030A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1"/>
      <color rgb="FFEE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vertAlign val="subscript"/>
      <sz val="10"/>
      <name val="Times New Roman"/>
      <family val="1"/>
      <charset val="204"/>
    </font>
    <font>
      <sz val="10"/>
      <color theme="1"/>
      <name val="Arial Cyr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vertAlign val="subscript"/>
      <sz val="9"/>
      <color theme="1"/>
      <name val="Times New Roman"/>
      <family val="1"/>
      <charset val="204"/>
    </font>
    <font>
      <b/>
      <sz val="12"/>
      <color theme="9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theme="1"/>
      <name val="Wingdings"/>
      <charset val="2"/>
    </font>
    <font>
      <sz val="14"/>
      <color theme="1"/>
      <name val="Symbol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color theme="9" tint="-0.499984740745262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sz val="10"/>
      <color theme="9" tint="-0.499984740745262"/>
      <name val="Times New Roman"/>
      <family val="1"/>
      <charset val="204"/>
    </font>
    <font>
      <sz val="10"/>
      <color rgb="FFEE0000"/>
      <name val="Calibri"/>
      <family val="2"/>
      <charset val="204"/>
      <scheme val="minor"/>
    </font>
    <font>
      <sz val="11"/>
      <color rgb="FFEE0000"/>
      <name val="Times New Roman"/>
      <family val="1"/>
      <charset val="204"/>
    </font>
    <font>
      <sz val="10"/>
      <color rgb="FFEE0000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b/>
      <sz val="10"/>
      <color theme="9" tint="-0.249977111117893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0"/>
      <color theme="9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2" fillId="0" borderId="0"/>
    <xf numFmtId="0" fontId="93" fillId="0" borderId="2">
      <alignment horizontal="left" vertical="top" wrapText="1" indent="2"/>
    </xf>
    <xf numFmtId="2" fontId="92" fillId="13" borderId="0">
      <alignment vertical="justify"/>
    </xf>
    <xf numFmtId="0" fontId="93" fillId="0" borderId="2" applyNumberFormat="0">
      <alignment horizontal="center" vertical="center" wrapText="1"/>
    </xf>
    <xf numFmtId="0" fontId="93" fillId="0" borderId="2" applyNumberFormat="0">
      <alignment horizontal="left" vertical="top" wrapText="1"/>
    </xf>
  </cellStyleXfs>
  <cellXfs count="110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0" fontId="12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5" fillId="0" borderId="0" xfId="0" applyFont="1"/>
    <xf numFmtId="0" fontId="18" fillId="4" borderId="0" xfId="0" applyFont="1" applyFill="1"/>
    <xf numFmtId="0" fontId="3" fillId="4" borderId="0" xfId="0" applyFont="1" applyFill="1"/>
    <xf numFmtId="0" fontId="6" fillId="4" borderId="0" xfId="0" applyFont="1" applyFill="1"/>
    <xf numFmtId="0" fontId="19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/>
    <xf numFmtId="0" fontId="19" fillId="3" borderId="7" xfId="0" applyFont="1" applyFill="1" applyBorder="1"/>
    <xf numFmtId="0" fontId="19" fillId="3" borderId="7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0" xfId="0" applyFont="1"/>
    <xf numFmtId="0" fontId="22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6" xfId="0" applyFont="1" applyBorder="1"/>
    <xf numFmtId="0" fontId="29" fillId="0" borderId="2" xfId="0" applyFont="1" applyBorder="1" applyProtection="1">
      <protection hidden="1"/>
    </xf>
    <xf numFmtId="49" fontId="29" fillId="0" borderId="2" xfId="0" applyNumberFormat="1" applyFont="1" applyBorder="1" applyAlignment="1" applyProtection="1">
      <alignment horizontal="center"/>
      <protection hidden="1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" xfId="0" applyFont="1" applyBorder="1"/>
    <xf numFmtId="0" fontId="29" fillId="0" borderId="7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2" xfId="0" applyFont="1" applyBorder="1"/>
    <xf numFmtId="0" fontId="29" fillId="0" borderId="2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29" fillId="0" borderId="10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8" xfId="0" applyFont="1" applyBorder="1"/>
    <xf numFmtId="0" fontId="30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/>
    <xf numFmtId="0" fontId="30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 wrapText="1"/>
    </xf>
    <xf numFmtId="0" fontId="0" fillId="6" borderId="0" xfId="0" applyFill="1"/>
    <xf numFmtId="0" fontId="3" fillId="3" borderId="2" xfId="0" applyFont="1" applyFill="1" applyBorder="1" applyAlignment="1">
      <alignment horizontal="center" vertical="center" wrapText="1"/>
    </xf>
    <xf numFmtId="0" fontId="0" fillId="7" borderId="0" xfId="0" applyFill="1"/>
    <xf numFmtId="49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4" borderId="0" xfId="0" applyFont="1" applyFill="1"/>
    <xf numFmtId="0" fontId="20" fillId="0" borderId="7" xfId="0" applyFont="1" applyBorder="1"/>
    <xf numFmtId="0" fontId="24" fillId="0" borderId="2" xfId="0" applyFont="1" applyBorder="1" applyAlignment="1">
      <alignment horizontal="center" vertical="center"/>
    </xf>
    <xf numFmtId="0" fontId="25" fillId="0" borderId="0" xfId="0" applyFont="1"/>
    <xf numFmtId="0" fontId="41" fillId="0" borderId="0" xfId="0" applyFont="1"/>
    <xf numFmtId="0" fontId="23" fillId="0" borderId="0" xfId="0" applyFont="1"/>
    <xf numFmtId="0" fontId="23" fillId="0" borderId="8" xfId="0" applyFont="1" applyBorder="1"/>
    <xf numFmtId="0" fontId="23" fillId="0" borderId="8" xfId="0" applyFont="1" applyBorder="1" applyAlignment="1">
      <alignment horizontal="center" vertical="center"/>
    </xf>
    <xf numFmtId="0" fontId="22" fillId="0" borderId="0" xfId="0" applyFont="1"/>
    <xf numFmtId="0" fontId="0" fillId="0" borderId="0" xfId="0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2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9" fillId="0" borderId="0" xfId="0" applyFont="1"/>
    <xf numFmtId="0" fontId="29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37" fillId="3" borderId="0" xfId="0" applyFont="1" applyFill="1" applyAlignment="1">
      <alignment horizontal="center" wrapText="1"/>
    </xf>
    <xf numFmtId="0" fontId="44" fillId="3" borderId="0" xfId="0" applyFont="1" applyFill="1" applyAlignment="1">
      <alignment horizontal="center" wrapText="1"/>
    </xf>
    <xf numFmtId="0" fontId="37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8" fillId="5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54" fillId="0" borderId="0" xfId="0" applyFont="1" applyAlignment="1">
      <alignment wrapText="1"/>
    </xf>
    <xf numFmtId="0" fontId="4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45" fillId="0" borderId="0" xfId="0" applyFont="1" applyAlignment="1">
      <alignment wrapText="1"/>
    </xf>
    <xf numFmtId="0" fontId="43" fillId="0" borderId="0" xfId="0" applyFont="1"/>
    <xf numFmtId="0" fontId="42" fillId="0" borderId="0" xfId="0" applyFont="1" applyAlignment="1">
      <alignment horizontal="center" wrapText="1"/>
    </xf>
    <xf numFmtId="0" fontId="44" fillId="3" borderId="0" xfId="0" applyFont="1" applyFill="1" applyAlignment="1">
      <alignment horizontal="left" wrapText="1"/>
    </xf>
    <xf numFmtId="0" fontId="45" fillId="0" borderId="0" xfId="0" applyFont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horizontal="left" wrapText="1"/>
    </xf>
    <xf numFmtId="0" fontId="36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36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Protection="1"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2" fillId="3" borderId="0" xfId="0" applyFont="1" applyFill="1" applyAlignment="1">
      <alignment wrapText="1"/>
    </xf>
    <xf numFmtId="0" fontId="60" fillId="0" borderId="0" xfId="0" applyFont="1" applyAlignment="1">
      <alignment horizontal="center" vertical="center"/>
    </xf>
    <xf numFmtId="0" fontId="45" fillId="0" borderId="0" xfId="0" applyFont="1" applyAlignment="1">
      <alignment horizontal="left"/>
    </xf>
    <xf numFmtId="0" fontId="2" fillId="3" borderId="0" xfId="0" applyFont="1" applyFill="1" applyAlignment="1" applyProtection="1">
      <alignment wrapText="1"/>
      <protection hidden="1"/>
    </xf>
    <xf numFmtId="0" fontId="36" fillId="3" borderId="0" xfId="0" applyFont="1" applyFill="1" applyAlignment="1" applyProtection="1">
      <alignment wrapText="1"/>
      <protection hidden="1"/>
    </xf>
    <xf numFmtId="0" fontId="47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48" fillId="0" borderId="0" xfId="0" applyFont="1" applyAlignment="1">
      <alignment horizontal="center" vertical="center"/>
    </xf>
    <xf numFmtId="0" fontId="45" fillId="0" borderId="0" xfId="0" applyFont="1"/>
    <xf numFmtId="0" fontId="48" fillId="0" borderId="0" xfId="0" applyFont="1" applyAlignment="1">
      <alignment horizontal="justify" vertical="center"/>
    </xf>
    <xf numFmtId="0" fontId="62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6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1" fillId="5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37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/>
    </xf>
    <xf numFmtId="0" fontId="45" fillId="0" borderId="2" xfId="0" applyFont="1" applyBorder="1"/>
    <xf numFmtId="0" fontId="37" fillId="10" borderId="2" xfId="0" applyFont="1" applyFill="1" applyBorder="1" applyAlignment="1">
      <alignment horizontal="center" vertical="center"/>
    </xf>
    <xf numFmtId="0" fontId="45" fillId="0" borderId="8" xfId="0" applyFont="1" applyBorder="1"/>
    <xf numFmtId="0" fontId="45" fillId="0" borderId="7" xfId="0" applyFont="1" applyBorder="1"/>
    <xf numFmtId="0" fontId="45" fillId="0" borderId="2" xfId="0" applyFont="1" applyBorder="1" applyAlignment="1">
      <alignment horizontal="left"/>
    </xf>
    <xf numFmtId="0" fontId="45" fillId="0" borderId="6" xfId="0" applyFont="1" applyBorder="1"/>
    <xf numFmtId="0" fontId="45" fillId="0" borderId="5" xfId="0" applyFont="1" applyBorder="1"/>
    <xf numFmtId="0" fontId="45" fillId="0" borderId="8" xfId="0" applyFont="1" applyBorder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45" fillId="0" borderId="3" xfId="0" applyFont="1" applyBorder="1" applyAlignment="1">
      <alignment horizontal="center"/>
    </xf>
    <xf numFmtId="0" fontId="45" fillId="0" borderId="20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20" xfId="0" applyFont="1" applyBorder="1"/>
    <xf numFmtId="0" fontId="45" fillId="0" borderId="21" xfId="0" applyFont="1" applyBorder="1"/>
    <xf numFmtId="0" fontId="45" fillId="0" borderId="15" xfId="0" applyFont="1" applyBorder="1"/>
    <xf numFmtId="0" fontId="45" fillId="0" borderId="13" xfId="0" applyFont="1" applyBorder="1"/>
    <xf numFmtId="0" fontId="45" fillId="0" borderId="11" xfId="0" applyFont="1" applyBorder="1"/>
    <xf numFmtId="0" fontId="45" fillId="0" borderId="12" xfId="0" applyFont="1" applyBorder="1"/>
    <xf numFmtId="0" fontId="45" fillId="0" borderId="22" xfId="0" applyFont="1" applyBorder="1"/>
    <xf numFmtId="0" fontId="37" fillId="0" borderId="0" xfId="0" applyFont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45" fillId="3" borderId="6" xfId="0" applyFont="1" applyFill="1" applyBorder="1"/>
    <xf numFmtId="0" fontId="45" fillId="3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left"/>
    </xf>
    <xf numFmtId="0" fontId="45" fillId="3" borderId="3" xfId="0" applyFont="1" applyFill="1" applyBorder="1" applyAlignment="1">
      <alignment horizontal="center"/>
    </xf>
    <xf numFmtId="0" fontId="45" fillId="3" borderId="20" xfId="0" applyFont="1" applyFill="1" applyBorder="1" applyAlignment="1">
      <alignment horizontal="center"/>
    </xf>
    <xf numFmtId="0" fontId="45" fillId="3" borderId="2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/>
    </xf>
    <xf numFmtId="0" fontId="45" fillId="3" borderId="0" xfId="0" applyFont="1" applyFill="1"/>
    <xf numFmtId="0" fontId="45" fillId="3" borderId="8" xfId="0" applyFont="1" applyFill="1" applyBorder="1"/>
    <xf numFmtId="0" fontId="45" fillId="0" borderId="3" xfId="0" applyFont="1" applyBorder="1"/>
    <xf numFmtId="0" fontId="45" fillId="3" borderId="24" xfId="0" applyFont="1" applyFill="1" applyBorder="1" applyAlignment="1">
      <alignment horizontal="center"/>
    </xf>
    <xf numFmtId="0" fontId="45" fillId="3" borderId="8" xfId="0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6" xfId="0" applyFont="1" applyBorder="1" applyAlignment="1">
      <alignment horizontal="left"/>
    </xf>
    <xf numFmtId="0" fontId="45" fillId="0" borderId="13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0" fontId="45" fillId="0" borderId="8" xfId="0" applyFont="1" applyBorder="1" applyAlignment="1">
      <alignment horizontal="left"/>
    </xf>
    <xf numFmtId="0" fontId="45" fillId="0" borderId="15" xfId="0" applyFont="1" applyBorder="1" applyAlignment="1">
      <alignment horizontal="center"/>
    </xf>
    <xf numFmtId="0" fontId="45" fillId="0" borderId="30" xfId="0" applyFont="1" applyBorder="1" applyAlignment="1">
      <alignment horizontal="center"/>
    </xf>
    <xf numFmtId="0" fontId="45" fillId="0" borderId="31" xfId="0" applyFont="1" applyBorder="1" applyAlignment="1">
      <alignment horizontal="center"/>
    </xf>
    <xf numFmtId="0" fontId="45" fillId="0" borderId="7" xfId="0" applyFont="1" applyBorder="1" applyAlignment="1">
      <alignment horizontal="left"/>
    </xf>
    <xf numFmtId="0" fontId="45" fillId="0" borderId="9" xfId="0" applyFont="1" applyBorder="1" applyAlignment="1">
      <alignment horizontal="center"/>
    </xf>
    <xf numFmtId="0" fontId="45" fillId="0" borderId="3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5" fillId="0" borderId="30" xfId="0" applyFont="1" applyBorder="1"/>
    <xf numFmtId="0" fontId="45" fillId="0" borderId="31" xfId="0" applyFont="1" applyBorder="1"/>
    <xf numFmtId="0" fontId="45" fillId="3" borderId="8" xfId="0" applyFont="1" applyFill="1" applyBorder="1" applyAlignment="1">
      <alignment horizontal="left"/>
    </xf>
    <xf numFmtId="0" fontId="45" fillId="3" borderId="15" xfId="0" applyFont="1" applyFill="1" applyBorder="1" applyAlignment="1">
      <alignment horizontal="center"/>
    </xf>
    <xf numFmtId="0" fontId="45" fillId="3" borderId="30" xfId="0" applyFont="1" applyFill="1" applyBorder="1" applyAlignment="1">
      <alignment horizontal="center"/>
    </xf>
    <xf numFmtId="0" fontId="45" fillId="3" borderId="31" xfId="0" applyFont="1" applyFill="1" applyBorder="1" applyAlignment="1">
      <alignment horizontal="center"/>
    </xf>
    <xf numFmtId="0" fontId="45" fillId="3" borderId="35" xfId="0" applyFont="1" applyFill="1" applyBorder="1"/>
    <xf numFmtId="0" fontId="45" fillId="3" borderId="31" xfId="0" applyFont="1" applyFill="1" applyBorder="1"/>
    <xf numFmtId="0" fontId="45" fillId="3" borderId="30" xfId="0" applyFont="1" applyFill="1" applyBorder="1"/>
    <xf numFmtId="0" fontId="45" fillId="3" borderId="15" xfId="0" applyFont="1" applyFill="1" applyBorder="1"/>
    <xf numFmtId="0" fontId="45" fillId="3" borderId="12" xfId="0" applyFont="1" applyFill="1" applyBorder="1"/>
    <xf numFmtId="0" fontId="45" fillId="3" borderId="7" xfId="0" applyFont="1" applyFill="1" applyBorder="1" applyAlignment="1">
      <alignment horizontal="left"/>
    </xf>
    <xf numFmtId="0" fontId="45" fillId="3" borderId="9" xfId="0" applyFont="1" applyFill="1" applyBorder="1" applyAlignment="1">
      <alignment horizontal="center"/>
    </xf>
    <xf numFmtId="0" fontId="45" fillId="3" borderId="32" xfId="0" applyFont="1" applyFill="1" applyBorder="1" applyAlignment="1">
      <alignment horizontal="center"/>
    </xf>
    <xf numFmtId="0" fontId="45" fillId="3" borderId="33" xfId="0" applyFont="1" applyFill="1" applyBorder="1" applyAlignment="1">
      <alignment horizontal="center"/>
    </xf>
    <xf numFmtId="0" fontId="45" fillId="3" borderId="36" xfId="0" applyFont="1" applyFill="1" applyBorder="1"/>
    <xf numFmtId="0" fontId="45" fillId="3" borderId="33" xfId="0" applyFont="1" applyFill="1" applyBorder="1"/>
    <xf numFmtId="0" fontId="45" fillId="3" borderId="32" xfId="0" applyFont="1" applyFill="1" applyBorder="1"/>
    <xf numFmtId="0" fontId="45" fillId="3" borderId="9" xfId="0" applyFont="1" applyFill="1" applyBorder="1"/>
    <xf numFmtId="0" fontId="45" fillId="3" borderId="10" xfId="0" applyFont="1" applyFill="1" applyBorder="1"/>
    <xf numFmtId="49" fontId="45" fillId="0" borderId="13" xfId="0" applyNumberFormat="1" applyFont="1" applyBorder="1" applyAlignment="1">
      <alignment horizontal="center"/>
    </xf>
    <xf numFmtId="49" fontId="45" fillId="0" borderId="15" xfId="0" applyNumberFormat="1" applyFont="1" applyBorder="1" applyAlignment="1">
      <alignment horizontal="center"/>
    </xf>
    <xf numFmtId="0" fontId="45" fillId="3" borderId="13" xfId="0" applyFont="1" applyFill="1" applyBorder="1" applyAlignment="1">
      <alignment horizontal="center"/>
    </xf>
    <xf numFmtId="0" fontId="45" fillId="3" borderId="28" xfId="0" applyFont="1" applyFill="1" applyBorder="1" applyAlignment="1">
      <alignment horizontal="center"/>
    </xf>
    <xf numFmtId="0" fontId="45" fillId="3" borderId="29" xfId="0" applyFont="1" applyFill="1" applyBorder="1" applyAlignment="1">
      <alignment horizontal="center"/>
    </xf>
    <xf numFmtId="0" fontId="45" fillId="3" borderId="34" xfId="0" applyFont="1" applyFill="1" applyBorder="1"/>
    <xf numFmtId="0" fontId="45" fillId="3" borderId="29" xfId="0" applyFont="1" applyFill="1" applyBorder="1"/>
    <xf numFmtId="0" fontId="45" fillId="3" borderId="28" xfId="0" applyFont="1" applyFill="1" applyBorder="1"/>
    <xf numFmtId="0" fontId="45" fillId="3" borderId="11" xfId="0" applyFont="1" applyFill="1" applyBorder="1"/>
    <xf numFmtId="0" fontId="45" fillId="3" borderId="13" xfId="0" applyFont="1" applyFill="1" applyBorder="1"/>
    <xf numFmtId="0" fontId="45" fillId="3" borderId="34" xfId="0" applyFont="1" applyFill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0" borderId="38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67" fillId="9" borderId="0" xfId="0" applyFont="1" applyFill="1" applyAlignment="1">
      <alignment wrapText="1"/>
    </xf>
    <xf numFmtId="0" fontId="68" fillId="0" borderId="0" xfId="0" applyFont="1"/>
    <xf numFmtId="0" fontId="68" fillId="0" borderId="0" xfId="0" applyFont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/>
    </xf>
    <xf numFmtId="0" fontId="45" fillId="3" borderId="35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26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59" fillId="0" borderId="0" xfId="0" applyFont="1"/>
    <xf numFmtId="0" fontId="45" fillId="0" borderId="3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5" fillId="3" borderId="20" xfId="0" applyFont="1" applyFill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5" fillId="0" borderId="7" xfId="0" applyFont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 wrapText="1"/>
    </xf>
    <xf numFmtId="0" fontId="45" fillId="3" borderId="3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 wrapText="1"/>
    </xf>
    <xf numFmtId="0" fontId="45" fillId="3" borderId="0" xfId="0" applyFont="1" applyFill="1" applyAlignment="1">
      <alignment horizontal="center" vertical="center" wrapText="1"/>
    </xf>
    <xf numFmtId="0" fontId="45" fillId="3" borderId="22" xfId="0" applyFont="1" applyFill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3" borderId="21" xfId="0" applyFont="1" applyFill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5" fillId="3" borderId="6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0" fontId="45" fillId="3" borderId="28" xfId="0" applyFont="1" applyFill="1" applyBorder="1" applyAlignment="1">
      <alignment horizontal="center" vertical="center" wrapText="1"/>
    </xf>
    <xf numFmtId="0" fontId="45" fillId="3" borderId="29" xfId="0" applyFont="1" applyFill="1" applyBorder="1" applyAlignment="1">
      <alignment horizontal="center" vertical="center" wrapText="1"/>
    </xf>
    <xf numFmtId="0" fontId="45" fillId="3" borderId="34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2" xfId="0" applyFont="1" applyFill="1" applyBorder="1" applyAlignment="1">
      <alignment horizontal="center" vertical="center" wrapText="1"/>
    </xf>
    <xf numFmtId="0" fontId="45" fillId="3" borderId="33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left"/>
    </xf>
    <xf numFmtId="0" fontId="37" fillId="0" borderId="2" xfId="0" applyFont="1" applyBorder="1" applyAlignment="1">
      <alignment horizontal="left" vertical="center"/>
    </xf>
    <xf numFmtId="0" fontId="45" fillId="3" borderId="2" xfId="0" applyFont="1" applyFill="1" applyBorder="1" applyAlignment="1">
      <alignment horizontal="left" vertical="center" wrapText="1"/>
    </xf>
    <xf numFmtId="0" fontId="45" fillId="3" borderId="2" xfId="0" applyFont="1" applyFill="1" applyBorder="1" applyAlignment="1">
      <alignment horizontal="left" vertical="center"/>
    </xf>
    <xf numFmtId="0" fontId="45" fillId="3" borderId="6" xfId="0" applyFont="1" applyFill="1" applyBorder="1" applyAlignment="1">
      <alignment horizontal="left" vertical="center" wrapText="1"/>
    </xf>
    <xf numFmtId="0" fontId="45" fillId="3" borderId="6" xfId="0" applyFont="1" applyFill="1" applyBorder="1" applyAlignment="1">
      <alignment horizontal="left"/>
    </xf>
    <xf numFmtId="0" fontId="37" fillId="0" borderId="38" xfId="0" applyFont="1" applyBorder="1" applyAlignment="1">
      <alignment horizontal="left" vertical="center"/>
    </xf>
    <xf numFmtId="0" fontId="68" fillId="0" borderId="0" xfId="0" applyFont="1" applyAlignment="1">
      <alignment horizontal="left"/>
    </xf>
    <xf numFmtId="0" fontId="37" fillId="0" borderId="46" xfId="0" applyFont="1" applyBorder="1" applyAlignment="1">
      <alignment horizontal="left" vertical="center"/>
    </xf>
    <xf numFmtId="0" fontId="69" fillId="0" borderId="6" xfId="0" applyFont="1" applyBorder="1" applyAlignment="1">
      <alignment horizontal="center" vertical="center" wrapText="1"/>
    </xf>
    <xf numFmtId="0" fontId="69" fillId="0" borderId="6" xfId="0" applyFont="1" applyBorder="1"/>
    <xf numFmtId="0" fontId="66" fillId="0" borderId="2" xfId="0" applyFont="1" applyBorder="1" applyProtection="1">
      <protection hidden="1"/>
    </xf>
    <xf numFmtId="49" fontId="66" fillId="0" borderId="2" xfId="0" applyNumberFormat="1" applyFont="1" applyBorder="1" applyAlignment="1" applyProtection="1">
      <alignment horizontal="center"/>
      <protection hidden="1"/>
    </xf>
    <xf numFmtId="0" fontId="66" fillId="0" borderId="2" xfId="0" applyFont="1" applyBorder="1" applyAlignment="1">
      <alignment horizontal="center"/>
    </xf>
    <xf numFmtId="0" fontId="38" fillId="0" borderId="0" xfId="0" applyFont="1"/>
    <xf numFmtId="0" fontId="69" fillId="0" borderId="8" xfId="0" applyFont="1" applyBorder="1" applyAlignment="1">
      <alignment horizontal="center" vertical="center" wrapText="1"/>
    </xf>
    <xf numFmtId="0" fontId="70" fillId="0" borderId="0" xfId="0" applyFont="1"/>
    <xf numFmtId="0" fontId="28" fillId="0" borderId="0" xfId="0" applyFont="1"/>
    <xf numFmtId="0" fontId="14" fillId="0" borderId="0" xfId="0" applyFont="1"/>
    <xf numFmtId="0" fontId="71" fillId="0" borderId="0" xfId="0" applyFont="1"/>
    <xf numFmtId="0" fontId="72" fillId="0" borderId="2" xfId="0" applyFont="1" applyBorder="1" applyAlignment="1">
      <alignment horizontal="center"/>
    </xf>
    <xf numFmtId="0" fontId="65" fillId="0" borderId="0" xfId="0" applyFont="1"/>
    <xf numFmtId="0" fontId="37" fillId="3" borderId="2" xfId="0" applyFont="1" applyFill="1" applyBorder="1" applyAlignment="1">
      <alignment horizontal="center" vertical="center" textRotation="90" wrapText="1"/>
    </xf>
    <xf numFmtId="0" fontId="37" fillId="0" borderId="37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59" fillId="0" borderId="0" xfId="0" applyFont="1" applyAlignment="1">
      <alignment horizontal="center" wrapTex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/>
    </xf>
    <xf numFmtId="0" fontId="37" fillId="3" borderId="0" xfId="0" applyFont="1" applyFill="1" applyAlignment="1" applyProtection="1">
      <alignment wrapText="1"/>
      <protection hidden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/>
    </xf>
    <xf numFmtId="0" fontId="22" fillId="3" borderId="6" xfId="0" applyFont="1" applyFill="1" applyBorder="1" applyAlignment="1">
      <alignment horizontal="center" vertical="top"/>
    </xf>
    <xf numFmtId="0" fontId="22" fillId="0" borderId="5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/>
    </xf>
    <xf numFmtId="0" fontId="22" fillId="0" borderId="2" xfId="0" applyFont="1" applyBorder="1" applyAlignment="1">
      <alignment horizontal="center"/>
    </xf>
    <xf numFmtId="0" fontId="22" fillId="4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6" fillId="0" borderId="0" xfId="0" applyFont="1"/>
    <xf numFmtId="0" fontId="3" fillId="0" borderId="4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vertical="center"/>
    </xf>
    <xf numFmtId="49" fontId="24" fillId="0" borderId="2" xfId="0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79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49" fontId="22" fillId="0" borderId="16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43" fillId="4" borderId="0" xfId="0" applyFont="1" applyFill="1"/>
    <xf numFmtId="0" fontId="42" fillId="4" borderId="0" xfId="0" applyFont="1" applyFill="1"/>
    <xf numFmtId="0" fontId="22" fillId="4" borderId="0" xfId="0" applyFont="1" applyFill="1"/>
    <xf numFmtId="0" fontId="14" fillId="4" borderId="0" xfId="0" applyFont="1" applyFill="1"/>
    <xf numFmtId="0" fontId="24" fillId="4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 textRotation="90" wrapText="1"/>
    </xf>
    <xf numFmtId="0" fontId="37" fillId="3" borderId="8" xfId="0" applyFont="1" applyFill="1" applyBorder="1" applyAlignment="1">
      <alignment horizontal="center" vertical="center" textRotation="90" wrapText="1"/>
    </xf>
    <xf numFmtId="0" fontId="84" fillId="0" borderId="0" xfId="0" applyFont="1"/>
    <xf numFmtId="0" fontId="85" fillId="0" borderId="0" xfId="0" applyFont="1"/>
    <xf numFmtId="0" fontId="44" fillId="0" borderId="28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4" fillId="0" borderId="20" xfId="0" applyFont="1" applyBorder="1" applyAlignment="1">
      <alignment horizontal="center"/>
    </xf>
    <xf numFmtId="0" fontId="44" fillId="3" borderId="20" xfId="0" applyFont="1" applyFill="1" applyBorder="1" applyAlignment="1">
      <alignment horizontal="center"/>
    </xf>
    <xf numFmtId="0" fontId="44" fillId="3" borderId="21" xfId="0" applyFont="1" applyFill="1" applyBorder="1" applyAlignment="1">
      <alignment horizontal="center"/>
    </xf>
    <xf numFmtId="0" fontId="44" fillId="0" borderId="29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44" fillId="0" borderId="20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44" fillId="3" borderId="20" xfId="0" applyFont="1" applyFill="1" applyBorder="1" applyAlignment="1">
      <alignment horizontal="center" vertical="center" wrapText="1"/>
    </xf>
    <xf numFmtId="0" fontId="44" fillId="3" borderId="21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0" fontId="44" fillId="3" borderId="28" xfId="0" applyFont="1" applyFill="1" applyBorder="1" applyAlignment="1">
      <alignment horizontal="center" vertical="center" wrapText="1"/>
    </xf>
    <xf numFmtId="0" fontId="44" fillId="3" borderId="29" xfId="0" applyFont="1" applyFill="1" applyBorder="1" applyAlignment="1">
      <alignment horizontal="center" vertical="center" wrapText="1"/>
    </xf>
    <xf numFmtId="0" fontId="44" fillId="3" borderId="32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center" vertical="center"/>
    </xf>
    <xf numFmtId="0" fontId="86" fillId="0" borderId="0" xfId="0" applyFont="1" applyAlignment="1">
      <alignment wrapText="1"/>
    </xf>
    <xf numFmtId="0" fontId="44" fillId="0" borderId="3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11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44" fillId="0" borderId="12" xfId="0" applyFont="1" applyBorder="1" applyAlignment="1">
      <alignment horizontal="center"/>
    </xf>
    <xf numFmtId="0" fontId="44" fillId="0" borderId="28" xfId="0" applyFont="1" applyBorder="1"/>
    <xf numFmtId="0" fontId="44" fillId="0" borderId="29" xfId="0" applyFont="1" applyBorder="1"/>
    <xf numFmtId="0" fontId="44" fillId="0" borderId="13" xfId="0" applyFont="1" applyBorder="1"/>
    <xf numFmtId="0" fontId="44" fillId="0" borderId="11" xfId="0" applyFont="1" applyBorder="1"/>
    <xf numFmtId="0" fontId="44" fillId="0" borderId="30" xfId="0" applyFont="1" applyBorder="1"/>
    <xf numFmtId="0" fontId="44" fillId="0" borderId="31" xfId="0" applyFont="1" applyBorder="1"/>
    <xf numFmtId="0" fontId="44" fillId="0" borderId="15" xfId="0" applyFont="1" applyBorder="1"/>
    <xf numFmtId="0" fontId="44" fillId="0" borderId="12" xfId="0" applyFont="1" applyBorder="1"/>
    <xf numFmtId="0" fontId="44" fillId="3" borderId="30" xfId="0" applyFont="1" applyFill="1" applyBorder="1"/>
    <xf numFmtId="0" fontId="44" fillId="3" borderId="15" xfId="0" applyFont="1" applyFill="1" applyBorder="1"/>
    <xf numFmtId="0" fontId="44" fillId="3" borderId="12" xfId="0" applyFont="1" applyFill="1" applyBorder="1"/>
    <xf numFmtId="0" fontId="44" fillId="3" borderId="32" xfId="0" applyFont="1" applyFill="1" applyBorder="1"/>
    <xf numFmtId="0" fontId="44" fillId="3" borderId="9" xfId="0" applyFont="1" applyFill="1" applyBorder="1"/>
    <xf numFmtId="0" fontId="44" fillId="0" borderId="32" xfId="0" applyFont="1" applyBorder="1"/>
    <xf numFmtId="0" fontId="44" fillId="0" borderId="33" xfId="0" applyFont="1" applyBorder="1"/>
    <xf numFmtId="0" fontId="44" fillId="0" borderId="9" xfId="0" applyFont="1" applyBorder="1"/>
    <xf numFmtId="0" fontId="44" fillId="0" borderId="10" xfId="0" applyFont="1" applyBorder="1"/>
    <xf numFmtId="0" fontId="44" fillId="0" borderId="20" xfId="0" applyFont="1" applyBorder="1"/>
    <xf numFmtId="0" fontId="44" fillId="0" borderId="21" xfId="0" applyFont="1" applyBorder="1"/>
    <xf numFmtId="0" fontId="44" fillId="0" borderId="3" xfId="0" applyFont="1" applyBorder="1"/>
    <xf numFmtId="0" fontId="44" fillId="0" borderId="5" xfId="0" applyFont="1" applyBorder="1"/>
    <xf numFmtId="0" fontId="44" fillId="3" borderId="3" xfId="0" applyFont="1" applyFill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4" fillId="3" borderId="22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44" fillId="3" borderId="4" xfId="0" applyFont="1" applyFill="1" applyBorder="1" applyAlignment="1">
      <alignment horizontal="center" vertical="center"/>
    </xf>
    <xf numFmtId="0" fontId="44" fillId="3" borderId="34" xfId="0" applyFont="1" applyFill="1" applyBorder="1" applyAlignment="1">
      <alignment horizontal="center" vertical="center" wrapText="1"/>
    </xf>
    <xf numFmtId="0" fontId="44" fillId="3" borderId="11" xfId="0" applyFont="1" applyFill="1" applyBorder="1" applyAlignment="1">
      <alignment horizontal="center" vertical="center" wrapText="1"/>
    </xf>
    <xf numFmtId="0" fontId="44" fillId="3" borderId="13" xfId="0" applyFont="1" applyFill="1" applyBorder="1" applyAlignment="1">
      <alignment horizontal="center" vertical="center" wrapText="1"/>
    </xf>
    <xf numFmtId="165" fontId="10" fillId="3" borderId="0" xfId="0" applyNumberFormat="1" applyFont="1" applyFill="1" applyAlignment="1">
      <alignment horizontal="center"/>
    </xf>
    <xf numFmtId="0" fontId="44" fillId="0" borderId="0" xfId="0" applyFont="1"/>
    <xf numFmtId="0" fontId="10" fillId="0" borderId="0" xfId="0" applyFont="1"/>
    <xf numFmtId="0" fontId="86" fillId="0" borderId="0" xfId="0" applyFont="1"/>
    <xf numFmtId="0" fontId="45" fillId="3" borderId="8" xfId="0" applyFont="1" applyFill="1" applyBorder="1" applyAlignment="1">
      <alignment horizontal="center" vertical="center" wrapText="1"/>
    </xf>
    <xf numFmtId="0" fontId="45" fillId="3" borderId="8" xfId="0" applyFont="1" applyFill="1" applyBorder="1" applyAlignment="1">
      <alignment horizontal="left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 vertical="center" wrapText="1"/>
    </xf>
    <xf numFmtId="0" fontId="44" fillId="3" borderId="15" xfId="0" applyFont="1" applyFill="1" applyBorder="1" applyAlignment="1">
      <alignment horizontal="center" vertical="center" wrapText="1"/>
    </xf>
    <xf numFmtId="0" fontId="44" fillId="3" borderId="0" xfId="0" applyFont="1" applyFill="1" applyAlignment="1">
      <alignment horizontal="center" vertical="center" wrapText="1"/>
    </xf>
    <xf numFmtId="0" fontId="45" fillId="3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5" fillId="3" borderId="31" xfId="0" applyFont="1" applyFill="1" applyBorder="1" applyAlignment="1">
      <alignment horizontal="center" vertical="center" wrapText="1"/>
    </xf>
    <xf numFmtId="0" fontId="45" fillId="3" borderId="35" xfId="0" applyFont="1" applyFill="1" applyBorder="1" applyAlignment="1">
      <alignment horizontal="center" vertical="center" wrapText="1"/>
    </xf>
    <xf numFmtId="0" fontId="45" fillId="3" borderId="6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45" fillId="3" borderId="4" xfId="0" applyFont="1" applyFill="1" applyBorder="1" applyAlignment="1">
      <alignment horizontal="center" vertical="center" wrapText="1"/>
    </xf>
    <xf numFmtId="0" fontId="45" fillId="3" borderId="22" xfId="0" applyFont="1" applyFill="1" applyBorder="1" applyAlignment="1">
      <alignment horizontal="center"/>
    </xf>
    <xf numFmtId="0" fontId="45" fillId="0" borderId="22" xfId="0" applyFont="1" applyBorder="1" applyAlignment="1">
      <alignment horizontal="center"/>
    </xf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165" fontId="22" fillId="3" borderId="0" xfId="0" applyNumberFormat="1" applyFont="1" applyFill="1" applyAlignment="1">
      <alignment horizontal="center"/>
    </xf>
    <xf numFmtId="49" fontId="22" fillId="3" borderId="2" xfId="0" applyNumberFormat="1" applyFont="1" applyFill="1" applyBorder="1" applyAlignment="1">
      <alignment horizontal="center" vertical="center"/>
    </xf>
    <xf numFmtId="0" fontId="45" fillId="0" borderId="28" xfId="0" applyFont="1" applyBorder="1"/>
    <xf numFmtId="0" fontId="45" fillId="0" borderId="29" xfId="0" applyFont="1" applyBorder="1"/>
    <xf numFmtId="0" fontId="45" fillId="0" borderId="32" xfId="0" applyFont="1" applyBorder="1"/>
    <xf numFmtId="0" fontId="45" fillId="0" borderId="33" xfId="0" applyFont="1" applyBorder="1"/>
    <xf numFmtId="0" fontId="37" fillId="0" borderId="38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45" fillId="3" borderId="49" xfId="0" applyFont="1" applyFill="1" applyBorder="1"/>
    <xf numFmtId="0" fontId="45" fillId="3" borderId="50" xfId="0" applyFont="1" applyFill="1" applyBorder="1"/>
    <xf numFmtId="0" fontId="45" fillId="3" borderId="51" xfId="0" applyFont="1" applyFill="1" applyBorder="1"/>
    <xf numFmtId="0" fontId="45" fillId="3" borderId="44" xfId="0" applyFont="1" applyFill="1" applyBorder="1"/>
    <xf numFmtId="0" fontId="45" fillId="3" borderId="52" xfId="0" applyFont="1" applyFill="1" applyBorder="1"/>
    <xf numFmtId="0" fontId="22" fillId="0" borderId="0" xfId="0" applyFont="1" applyAlignment="1">
      <alignment horizontal="left"/>
    </xf>
    <xf numFmtId="0" fontId="37" fillId="0" borderId="2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3" borderId="42" xfId="0" applyFont="1" applyFill="1" applyBorder="1"/>
    <xf numFmtId="0" fontId="45" fillId="3" borderId="43" xfId="0" applyFont="1" applyFill="1" applyBorder="1"/>
    <xf numFmtId="0" fontId="37" fillId="3" borderId="18" xfId="0" applyFont="1" applyFill="1" applyBorder="1" applyAlignment="1">
      <alignment horizontal="center" vertical="center" wrapText="1"/>
    </xf>
    <xf numFmtId="0" fontId="37" fillId="3" borderId="23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/>
    </xf>
    <xf numFmtId="0" fontId="45" fillId="3" borderId="3" xfId="0" applyFont="1" applyFill="1" applyBorder="1" applyAlignment="1">
      <alignment horizontal="center" vertical="center"/>
    </xf>
    <xf numFmtId="0" fontId="45" fillId="3" borderId="42" xfId="0" applyFont="1" applyFill="1" applyBorder="1" applyAlignment="1">
      <alignment horizontal="center"/>
    </xf>
    <xf numFmtId="0" fontId="45" fillId="3" borderId="43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45" fillId="0" borderId="2" xfId="0" applyFont="1" applyBorder="1" applyAlignment="1">
      <alignment vertical="center"/>
    </xf>
    <xf numFmtId="49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Protection="1">
      <protection hidden="1"/>
    </xf>
    <xf numFmtId="49" fontId="45" fillId="0" borderId="2" xfId="0" applyNumberFormat="1" applyFont="1" applyBorder="1" applyAlignment="1" applyProtection="1">
      <alignment horizontal="center"/>
      <protection hidden="1"/>
    </xf>
    <xf numFmtId="0" fontId="45" fillId="0" borderId="7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0" borderId="2" xfId="0" applyFont="1" applyBorder="1" applyAlignment="1">
      <alignment vertical="center" wrapText="1"/>
    </xf>
    <xf numFmtId="0" fontId="45" fillId="0" borderId="17" xfId="0" applyFont="1" applyBorder="1" applyAlignment="1">
      <alignment horizontal="left" vertical="center"/>
    </xf>
    <xf numFmtId="0" fontId="45" fillId="0" borderId="17" xfId="0" applyFont="1" applyBorder="1" applyAlignment="1">
      <alignment horizontal="center" vertical="center"/>
    </xf>
    <xf numFmtId="0" fontId="45" fillId="0" borderId="17" xfId="0" applyFont="1" applyBorder="1" applyAlignment="1">
      <alignment horizontal="left" vertical="center" wrapText="1"/>
    </xf>
    <xf numFmtId="49" fontId="45" fillId="0" borderId="17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left" vertical="center" wrapText="1"/>
    </xf>
    <xf numFmtId="0" fontId="45" fillId="0" borderId="6" xfId="0" applyFont="1" applyBorder="1" applyAlignment="1">
      <alignment horizontal="center" vertical="center" wrapText="1"/>
    </xf>
    <xf numFmtId="0" fontId="45" fillId="0" borderId="2" xfId="0" applyFont="1" applyBorder="1" applyAlignment="1">
      <alignment horizontal="left" vertical="center" wrapText="1"/>
    </xf>
    <xf numFmtId="49" fontId="4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2" fillId="3" borderId="0" xfId="0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43" fillId="3" borderId="0" xfId="0" applyFont="1" applyFill="1" applyAlignment="1">
      <alignment wrapText="1"/>
    </xf>
    <xf numFmtId="0" fontId="39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14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60" fillId="3" borderId="0" xfId="0" applyFont="1" applyFill="1" applyAlignment="1">
      <alignment horizontal="center" vertical="center" wrapText="1"/>
    </xf>
    <xf numFmtId="0" fontId="45" fillId="3" borderId="0" xfId="0" applyFont="1" applyFill="1" applyAlignment="1">
      <alignment horizontal="justify" vertical="center" wrapText="1"/>
    </xf>
    <xf numFmtId="0" fontId="43" fillId="3" borderId="0" xfId="0" applyFont="1" applyFill="1" applyAlignment="1">
      <alignment horizontal="justify" vertical="center" wrapText="1"/>
    </xf>
    <xf numFmtId="0" fontId="42" fillId="3" borderId="0" xfId="0" applyFont="1" applyFill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/>
    </xf>
    <xf numFmtId="0" fontId="37" fillId="3" borderId="19" xfId="0" applyFont="1" applyFill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37" fillId="0" borderId="53" xfId="0" applyFont="1" applyBorder="1" applyAlignment="1">
      <alignment horizontal="center" vertical="center"/>
    </xf>
    <xf numFmtId="0" fontId="45" fillId="0" borderId="34" xfId="0" applyFont="1" applyBorder="1"/>
    <xf numFmtId="0" fontId="45" fillId="0" borderId="35" xfId="0" applyFont="1" applyBorder="1"/>
    <xf numFmtId="0" fontId="45" fillId="0" borderId="42" xfId="0" applyFont="1" applyBorder="1"/>
    <xf numFmtId="0" fontId="45" fillId="0" borderId="44" xfId="0" applyFont="1" applyBorder="1"/>
    <xf numFmtId="0" fontId="45" fillId="0" borderId="43" xfId="0" applyFont="1" applyBorder="1"/>
    <xf numFmtId="0" fontId="45" fillId="0" borderId="45" xfId="0" applyFont="1" applyBorder="1"/>
    <xf numFmtId="0" fontId="37" fillId="0" borderId="25" xfId="0" applyFont="1" applyBorder="1" applyAlignment="1">
      <alignment horizontal="center" vertical="center"/>
    </xf>
    <xf numFmtId="0" fontId="45" fillId="0" borderId="44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45" fillId="3" borderId="0" xfId="0" applyFont="1" applyFill="1" applyAlignment="1">
      <alignment horizontal="left" wrapText="1"/>
    </xf>
    <xf numFmtId="0" fontId="3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justify" vertical="center" wrapText="1"/>
    </xf>
    <xf numFmtId="0" fontId="47" fillId="3" borderId="0" xfId="0" applyFont="1" applyFill="1" applyAlignment="1">
      <alignment horizontal="justify" vertical="center" wrapText="1"/>
    </xf>
    <xf numFmtId="0" fontId="27" fillId="3" borderId="0" xfId="0" applyFont="1" applyFill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0" fillId="3" borderId="0" xfId="0" applyFill="1"/>
    <xf numFmtId="0" fontId="47" fillId="3" borderId="0" xfId="0" applyFont="1" applyFill="1" applyAlignment="1">
      <alignment horizontal="left" vertical="center" wrapText="1"/>
    </xf>
    <xf numFmtId="0" fontId="17" fillId="3" borderId="0" xfId="0" applyFont="1" applyFill="1"/>
    <xf numFmtId="0" fontId="24" fillId="3" borderId="7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4" fillId="0" borderId="6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/>
    </xf>
    <xf numFmtId="0" fontId="24" fillId="3" borderId="6" xfId="0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/>
    </xf>
    <xf numFmtId="0" fontId="24" fillId="3" borderId="7" xfId="0" applyFont="1" applyFill="1" applyBorder="1" applyAlignment="1">
      <alignment horizontal="center" vertical="top"/>
    </xf>
    <xf numFmtId="0" fontId="2" fillId="3" borderId="0" xfId="0" applyFont="1" applyFill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 vertical="center"/>
    </xf>
    <xf numFmtId="0" fontId="0" fillId="11" borderId="0" xfId="0" applyFill="1" applyAlignment="1">
      <alignment wrapText="1"/>
    </xf>
    <xf numFmtId="0" fontId="14" fillId="0" borderId="0" xfId="0" applyFont="1" applyAlignment="1">
      <alignment horizontal="left"/>
    </xf>
    <xf numFmtId="0" fontId="14" fillId="3" borderId="0" xfId="0" applyFont="1" applyFill="1" applyAlignment="1">
      <alignment horizontal="left"/>
    </xf>
    <xf numFmtId="0" fontId="14" fillId="0" borderId="0" xfId="0" applyFont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22" fillId="3" borderId="0" xfId="0" applyFont="1" applyFill="1"/>
    <xf numFmtId="49" fontId="22" fillId="4" borderId="0" xfId="0" applyNumberFormat="1" applyFont="1" applyFill="1"/>
    <xf numFmtId="49" fontId="22" fillId="3" borderId="0" xfId="0" applyNumberFormat="1" applyFont="1" applyFill="1"/>
    <xf numFmtId="0" fontId="22" fillId="3" borderId="6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center" wrapText="1"/>
    </xf>
    <xf numFmtId="49" fontId="22" fillId="0" borderId="8" xfId="0" applyNumberFormat="1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left" vertic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2" xfId="0" applyFont="1" applyFill="1" applyBorder="1" applyProtection="1">
      <protection hidden="1"/>
    </xf>
    <xf numFmtId="49" fontId="22" fillId="0" borderId="2" xfId="0" applyNumberFormat="1" applyFont="1" applyBorder="1" applyAlignment="1" applyProtection="1">
      <alignment horizontal="center"/>
      <protection hidden="1"/>
    </xf>
    <xf numFmtId="0" fontId="22" fillId="3" borderId="2" xfId="0" applyFont="1" applyFill="1" applyBorder="1" applyAlignment="1">
      <alignment horizontal="left" wrapText="1"/>
    </xf>
    <xf numFmtId="49" fontId="22" fillId="0" borderId="2" xfId="0" applyNumberFormat="1" applyFont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0" fontId="22" fillId="3" borderId="6" xfId="0" applyFont="1" applyFill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49" fontId="22" fillId="0" borderId="6" xfId="0" applyNumberFormat="1" applyFont="1" applyBorder="1" applyAlignment="1">
      <alignment horizontal="center" vertical="center" wrapText="1"/>
    </xf>
    <xf numFmtId="0" fontId="10" fillId="3" borderId="0" xfId="0" applyFont="1" applyFill="1"/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/>
    </xf>
    <xf numFmtId="0" fontId="45" fillId="3" borderId="44" xfId="0" applyFont="1" applyFill="1" applyBorder="1" applyAlignment="1">
      <alignment horizontal="center"/>
    </xf>
    <xf numFmtId="0" fontId="45" fillId="3" borderId="45" xfId="0" applyFont="1" applyFill="1" applyBorder="1"/>
    <xf numFmtId="0" fontId="44" fillId="9" borderId="0" xfId="0" applyFont="1" applyFill="1" applyAlignment="1">
      <alignment horizontal="left"/>
    </xf>
    <xf numFmtId="0" fontId="45" fillId="0" borderId="8" xfId="0" applyFont="1" applyBorder="1" applyAlignment="1">
      <alignment horizontal="left" vertical="center" wrapText="1"/>
    </xf>
    <xf numFmtId="49" fontId="45" fillId="0" borderId="8" xfId="0" applyNumberFormat="1" applyFont="1" applyBorder="1" applyAlignment="1">
      <alignment horizontal="center" vertical="center"/>
    </xf>
    <xf numFmtId="0" fontId="45" fillId="3" borderId="0" xfId="0" applyFont="1" applyFill="1" applyAlignment="1">
      <alignment horizontal="center"/>
    </xf>
    <xf numFmtId="166" fontId="14" fillId="10" borderId="2" xfId="0" applyNumberFormat="1" applyFont="1" applyFill="1" applyBorder="1" applyAlignment="1">
      <alignment horizontal="center" vertical="center"/>
    </xf>
    <xf numFmtId="164" fontId="71" fillId="0" borderId="0" xfId="0" applyNumberFormat="1" applyFont="1"/>
    <xf numFmtId="0" fontId="45" fillId="3" borderId="24" xfId="0" applyFont="1" applyFill="1" applyBorder="1" applyAlignment="1">
      <alignment horizontal="center" vertical="center" wrapText="1"/>
    </xf>
    <xf numFmtId="166" fontId="37" fillId="10" borderId="2" xfId="0" applyNumberFormat="1" applyFont="1" applyFill="1" applyBorder="1" applyAlignment="1">
      <alignment horizontal="center" vertical="center"/>
    </xf>
    <xf numFmtId="0" fontId="45" fillId="0" borderId="9" xfId="0" applyFont="1" applyBorder="1"/>
    <xf numFmtId="166" fontId="22" fillId="0" borderId="0" xfId="0" applyNumberFormat="1" applyFont="1" applyAlignment="1">
      <alignment horizontal="center"/>
    </xf>
    <xf numFmtId="0" fontId="45" fillId="3" borderId="9" xfId="0" applyFont="1" applyFill="1" applyBorder="1" applyAlignment="1">
      <alignment horizontal="center" vertical="center" wrapText="1"/>
    </xf>
    <xf numFmtId="0" fontId="38" fillId="10" borderId="2" xfId="0" applyFont="1" applyFill="1" applyBorder="1" applyAlignment="1">
      <alignment horizontal="center" vertical="center"/>
    </xf>
    <xf numFmtId="166" fontId="81" fillId="10" borderId="2" xfId="0" applyNumberFormat="1" applyFont="1" applyFill="1" applyBorder="1" applyAlignment="1">
      <alignment horizontal="center" vertical="center"/>
    </xf>
    <xf numFmtId="0" fontId="44" fillId="3" borderId="22" xfId="0" applyFont="1" applyFill="1" applyBorder="1" applyAlignment="1">
      <alignment horizontal="center" vertical="center" wrapText="1"/>
    </xf>
    <xf numFmtId="0" fontId="44" fillId="3" borderId="33" xfId="0" applyFont="1" applyFill="1" applyBorder="1" applyAlignment="1">
      <alignment horizontal="center" vertical="center" wrapText="1"/>
    </xf>
    <xf numFmtId="0" fontId="94" fillId="0" borderId="3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4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94" fillId="10" borderId="2" xfId="0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4" fillId="0" borderId="44" xfId="0" applyFont="1" applyBorder="1"/>
    <xf numFmtId="0" fontId="44" fillId="0" borderId="43" xfId="0" applyFont="1" applyBorder="1"/>
    <xf numFmtId="0" fontId="94" fillId="0" borderId="46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5" fillId="3" borderId="5" xfId="0" applyFont="1" applyFill="1" applyBorder="1" applyAlignment="1">
      <alignment horizontal="center" vertical="center" wrapText="1"/>
    </xf>
    <xf numFmtId="0" fontId="94" fillId="0" borderId="18" xfId="0" applyFont="1" applyBorder="1" applyAlignment="1">
      <alignment horizontal="center" vertical="center" wrapText="1"/>
    </xf>
    <xf numFmtId="0" fontId="45" fillId="3" borderId="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0" borderId="10" xfId="0" applyFont="1" applyBorder="1"/>
    <xf numFmtId="0" fontId="94" fillId="0" borderId="19" xfId="0" applyFont="1" applyBorder="1" applyAlignment="1">
      <alignment horizontal="center" vertical="center" wrapText="1"/>
    </xf>
    <xf numFmtId="0" fontId="44" fillId="3" borderId="34" xfId="0" applyFont="1" applyFill="1" applyBorder="1"/>
    <xf numFmtId="0" fontId="44" fillId="3" borderId="13" xfId="0" applyFont="1" applyFill="1" applyBorder="1"/>
    <xf numFmtId="0" fontId="44" fillId="3" borderId="35" xfId="0" applyFont="1" applyFill="1" applyBorder="1"/>
    <xf numFmtId="0" fontId="44" fillId="3" borderId="36" xfId="0" applyFont="1" applyFill="1" applyBorder="1"/>
    <xf numFmtId="0" fontId="44" fillId="3" borderId="42" xfId="0" applyFont="1" applyFill="1" applyBorder="1"/>
    <xf numFmtId="0" fontId="44" fillId="3" borderId="45" xfId="0" applyFont="1" applyFill="1" applyBorder="1"/>
    <xf numFmtId="0" fontId="94" fillId="0" borderId="27" xfId="0" applyFont="1" applyBorder="1" applyAlignment="1">
      <alignment horizontal="center" vertical="center"/>
    </xf>
    <xf numFmtId="0" fontId="94" fillId="0" borderId="25" xfId="0" applyFont="1" applyBorder="1" applyAlignment="1">
      <alignment horizontal="center" vertical="center"/>
    </xf>
    <xf numFmtId="0" fontId="94" fillId="0" borderId="23" xfId="0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5" fillId="0" borderId="0" xfId="0" applyFont="1" applyAlignment="1">
      <alignment wrapText="1"/>
    </xf>
    <xf numFmtId="0" fontId="95" fillId="9" borderId="0" xfId="0" applyFont="1" applyFill="1" applyAlignment="1">
      <alignment wrapText="1"/>
    </xf>
    <xf numFmtId="0" fontId="25" fillId="3" borderId="0" xfId="0" applyFont="1" applyFill="1"/>
    <xf numFmtId="0" fontId="27" fillId="3" borderId="0" xfId="0" applyFont="1" applyFill="1" applyAlignment="1">
      <alignment horizontal="center" vertical="top" wrapText="1"/>
    </xf>
    <xf numFmtId="0" fontId="45" fillId="3" borderId="0" xfId="0" applyFont="1" applyFill="1" applyAlignment="1">
      <alignment horizontal="center" vertical="top" wrapText="1"/>
    </xf>
    <xf numFmtId="0" fontId="12" fillId="3" borderId="2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/>
    </xf>
    <xf numFmtId="0" fontId="25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22" fillId="0" borderId="0" xfId="0" applyFont="1" applyAlignment="1">
      <alignment wrapText="1"/>
    </xf>
    <xf numFmtId="0" fontId="77" fillId="9" borderId="0" xfId="0" applyFont="1" applyFill="1" applyAlignment="1">
      <alignment wrapText="1"/>
    </xf>
    <xf numFmtId="0" fontId="22" fillId="3" borderId="0" xfId="0" applyFont="1" applyFill="1" applyAlignment="1">
      <alignment vertical="center" wrapText="1"/>
    </xf>
    <xf numFmtId="0" fontId="25" fillId="3" borderId="0" xfId="0" applyFont="1" applyFill="1" applyAlignment="1">
      <alignment wrapText="1"/>
    </xf>
    <xf numFmtId="0" fontId="43" fillId="3" borderId="0" xfId="0" applyFont="1" applyFill="1"/>
    <xf numFmtId="0" fontId="22" fillId="3" borderId="3" xfId="0" applyFont="1" applyFill="1" applyBorder="1" applyAlignment="1">
      <alignment horizontal="center" vertical="center"/>
    </xf>
    <xf numFmtId="0" fontId="43" fillId="0" borderId="0" xfId="0" applyFont="1" applyAlignment="1">
      <alignment vertical="center" wrapText="1"/>
    </xf>
    <xf numFmtId="0" fontId="97" fillId="0" borderId="0" xfId="0" applyFont="1" applyAlignment="1">
      <alignment wrapText="1"/>
    </xf>
    <xf numFmtId="0" fontId="97" fillId="0" borderId="0" xfId="0" applyFont="1"/>
    <xf numFmtId="0" fontId="97" fillId="9" borderId="0" xfId="0" applyFont="1" applyFill="1"/>
    <xf numFmtId="0" fontId="95" fillId="9" borderId="0" xfId="0" applyFont="1" applyFill="1" applyAlignment="1">
      <alignment horizontal="left" wrapText="1"/>
    </xf>
    <xf numFmtId="0" fontId="97" fillId="14" borderId="0" xfId="0" applyFont="1" applyFill="1"/>
    <xf numFmtId="0" fontId="22" fillId="14" borderId="0" xfId="0" applyFont="1" applyFill="1"/>
    <xf numFmtId="0" fontId="10" fillId="0" borderId="0" xfId="0" applyFont="1" applyAlignment="1">
      <alignment wrapText="1"/>
    </xf>
    <xf numFmtId="0" fontId="16" fillId="0" borderId="0" xfId="0" applyFont="1"/>
    <xf numFmtId="0" fontId="98" fillId="0" borderId="0" xfId="0" applyFont="1"/>
    <xf numFmtId="0" fontId="9" fillId="0" borderId="2" xfId="0" applyFont="1" applyBorder="1" applyAlignment="1">
      <alignment horizontal="center" vertical="top" wrapText="1"/>
    </xf>
    <xf numFmtId="0" fontId="99" fillId="0" borderId="0" xfId="0" applyFont="1"/>
    <xf numFmtId="0" fontId="10" fillId="3" borderId="0" xfId="0" applyFont="1" applyFill="1" applyAlignment="1">
      <alignment horizontal="left" wrapText="1"/>
    </xf>
    <xf numFmtId="0" fontId="100" fillId="0" borderId="0" xfId="0" applyFont="1"/>
    <xf numFmtId="0" fontId="3" fillId="0" borderId="0" xfId="0" applyFont="1" applyAlignment="1">
      <alignment horizontal="center"/>
    </xf>
    <xf numFmtId="0" fontId="101" fillId="9" borderId="0" xfId="0" applyFont="1" applyFill="1" applyAlignment="1">
      <alignment wrapText="1"/>
    </xf>
    <xf numFmtId="0" fontId="24" fillId="0" borderId="9" xfId="0" applyFont="1" applyBorder="1" applyAlignment="1">
      <alignment horizontal="center" vertical="top"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left" wrapText="1"/>
    </xf>
    <xf numFmtId="0" fontId="6" fillId="3" borderId="0" xfId="0" applyFont="1" applyFill="1" applyProtection="1">
      <protection hidden="1"/>
    </xf>
    <xf numFmtId="0" fontId="39" fillId="0" borderId="0" xfId="0" applyFont="1" applyAlignment="1">
      <alignment horizontal="left" vertical="center" wrapText="1"/>
    </xf>
    <xf numFmtId="0" fontId="40" fillId="9" borderId="0" xfId="0" applyFont="1" applyFill="1" applyAlignment="1">
      <alignment wrapText="1"/>
    </xf>
    <xf numFmtId="0" fontId="15" fillId="6" borderId="0" xfId="0" applyFont="1" applyFill="1"/>
    <xf numFmtId="0" fontId="96" fillId="0" borderId="0" xfId="0" applyFont="1"/>
    <xf numFmtId="0" fontId="15" fillId="3" borderId="0" xfId="0" applyFont="1" applyFill="1" applyAlignment="1">
      <alignment wrapText="1"/>
    </xf>
    <xf numFmtId="0" fontId="14" fillId="3" borderId="0" xfId="0" applyFont="1" applyFill="1" applyAlignment="1">
      <alignment horizontal="center" wrapText="1"/>
    </xf>
    <xf numFmtId="0" fontId="22" fillId="3" borderId="0" xfId="0" applyFont="1" applyFill="1" applyAlignment="1">
      <alignment wrapText="1"/>
    </xf>
    <xf numFmtId="0" fontId="6" fillId="3" borderId="0" xfId="0" applyFont="1" applyFill="1" applyAlignment="1" applyProtection="1">
      <alignment wrapText="1"/>
      <protection hidden="1"/>
    </xf>
    <xf numFmtId="0" fontId="95" fillId="3" borderId="0" xfId="0" applyFont="1" applyFill="1" applyAlignment="1">
      <alignment wrapText="1"/>
    </xf>
    <xf numFmtId="0" fontId="15" fillId="11" borderId="0" xfId="0" applyFont="1" applyFill="1" applyAlignment="1">
      <alignment wrapText="1"/>
    </xf>
    <xf numFmtId="0" fontId="42" fillId="3" borderId="0" xfId="0" applyFont="1" applyFill="1" applyAlignment="1">
      <alignment wrapText="1"/>
    </xf>
    <xf numFmtId="0" fontId="45" fillId="3" borderId="0" xfId="0" applyFont="1" applyFill="1" applyAlignment="1">
      <alignment wrapText="1"/>
    </xf>
    <xf numFmtId="0" fontId="22" fillId="3" borderId="2" xfId="0" applyFont="1" applyFill="1" applyBorder="1" applyAlignment="1">
      <alignment horizontal="center" vertical="top" wrapText="1"/>
    </xf>
    <xf numFmtId="0" fontId="102" fillId="0" borderId="9" xfId="0" applyFont="1" applyBorder="1" applyAlignment="1">
      <alignment horizontal="center"/>
    </xf>
    <xf numFmtId="0" fontId="102" fillId="0" borderId="1" xfId="0" applyFont="1" applyBorder="1" applyAlignment="1">
      <alignment horizontal="center"/>
    </xf>
    <xf numFmtId="0" fontId="102" fillId="0" borderId="1" xfId="0" applyFont="1" applyBorder="1" applyAlignment="1">
      <alignment horizontal="center" vertical="center" wrapText="1"/>
    </xf>
    <xf numFmtId="0" fontId="37" fillId="3" borderId="0" xfId="0" applyFont="1" applyFill="1"/>
    <xf numFmtId="0" fontId="45" fillId="3" borderId="0" xfId="0" applyFont="1" applyFill="1" applyAlignment="1">
      <alignment horizontal="left"/>
    </xf>
    <xf numFmtId="0" fontId="45" fillId="4" borderId="0" xfId="0" applyFont="1" applyFill="1"/>
    <xf numFmtId="49" fontId="45" fillId="4" borderId="0" xfId="0" applyNumberFormat="1" applyFont="1" applyFill="1"/>
    <xf numFmtId="49" fontId="45" fillId="3" borderId="0" xfId="0" applyNumberFormat="1" applyFont="1" applyFill="1"/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5" fillId="0" borderId="0" xfId="0" applyFont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04" fillId="9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15" fillId="9" borderId="0" xfId="0" applyFont="1" applyFill="1" applyAlignment="1">
      <alignment wrapText="1"/>
    </xf>
    <xf numFmtId="0" fontId="22" fillId="2" borderId="0" xfId="0" applyFont="1" applyFill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14" fillId="0" borderId="3" xfId="0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/>
    </xf>
    <xf numFmtId="0" fontId="105" fillId="0" borderId="0" xfId="0" applyFont="1"/>
    <xf numFmtId="0" fontId="95" fillId="9" borderId="9" xfId="0" applyFont="1" applyFill="1" applyBorder="1" applyAlignment="1">
      <alignment wrapText="1"/>
    </xf>
    <xf numFmtId="0" fontId="95" fillId="9" borderId="1" xfId="0" applyFont="1" applyFill="1" applyBorder="1" applyAlignment="1">
      <alignment wrapText="1"/>
    </xf>
    <xf numFmtId="0" fontId="22" fillId="0" borderId="1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95" fillId="9" borderId="9" xfId="0" applyFont="1" applyFill="1" applyBorder="1" applyAlignment="1">
      <alignment horizontal="center" wrapText="1"/>
    </xf>
    <xf numFmtId="0" fontId="95" fillId="9" borderId="1" xfId="0" applyFont="1" applyFill="1" applyBorder="1" applyAlignment="1">
      <alignment horizontal="center" wrapText="1"/>
    </xf>
    <xf numFmtId="0" fontId="106" fillId="0" borderId="1" xfId="0" applyFont="1" applyBorder="1"/>
    <xf numFmtId="0" fontId="85" fillId="0" borderId="1" xfId="0" applyFont="1" applyBorder="1"/>
    <xf numFmtId="0" fontId="95" fillId="3" borderId="9" xfId="0" applyFont="1" applyFill="1" applyBorder="1"/>
    <xf numFmtId="0" fontId="95" fillId="3" borderId="1" xfId="0" applyFont="1" applyFill="1" applyBorder="1"/>
    <xf numFmtId="0" fontId="45" fillId="3" borderId="4" xfId="0" applyFont="1" applyFill="1" applyBorder="1" applyAlignment="1">
      <alignment horizontal="center"/>
    </xf>
    <xf numFmtId="0" fontId="67" fillId="9" borderId="9" xfId="0" applyFont="1" applyFill="1" applyBorder="1" applyAlignment="1">
      <alignment wrapText="1"/>
    </xf>
    <xf numFmtId="0" fontId="67" fillId="9" borderId="1" xfId="0" applyFont="1" applyFill="1" applyBorder="1" applyAlignment="1">
      <alignment wrapText="1"/>
    </xf>
    <xf numFmtId="0" fontId="1" fillId="0" borderId="1" xfId="0" applyFont="1" applyBorder="1"/>
    <xf numFmtId="0" fontId="67" fillId="9" borderId="15" xfId="0" applyFont="1" applyFill="1" applyBorder="1" applyAlignment="1">
      <alignment wrapText="1"/>
    </xf>
    <xf numFmtId="0" fontId="45" fillId="9" borderId="6" xfId="0" applyFont="1" applyFill="1" applyBorder="1" applyAlignment="1">
      <alignment horizontal="center" vertical="center" wrapText="1"/>
    </xf>
    <xf numFmtId="0" fontId="45" fillId="9" borderId="6" xfId="0" applyFont="1" applyFill="1" applyBorder="1" applyAlignment="1">
      <alignment horizontal="left" vertical="center" wrapText="1"/>
    </xf>
    <xf numFmtId="0" fontId="45" fillId="9" borderId="13" xfId="0" applyFont="1" applyFill="1" applyBorder="1" applyAlignment="1">
      <alignment horizontal="center" vertical="center" wrapText="1"/>
    </xf>
    <xf numFmtId="0" fontId="45" fillId="9" borderId="28" xfId="0" applyFont="1" applyFill="1" applyBorder="1" applyAlignment="1">
      <alignment horizontal="center" vertical="center" wrapText="1"/>
    </xf>
    <xf numFmtId="0" fontId="45" fillId="9" borderId="29" xfId="0" applyFont="1" applyFill="1" applyBorder="1" applyAlignment="1">
      <alignment horizontal="center" vertical="center" wrapText="1"/>
    </xf>
    <xf numFmtId="0" fontId="45" fillId="9" borderId="34" xfId="0" applyFont="1" applyFill="1" applyBorder="1" applyAlignment="1">
      <alignment horizontal="center" vertical="center" wrapText="1"/>
    </xf>
    <xf numFmtId="0" fontId="44" fillId="9" borderId="34" xfId="0" applyFont="1" applyFill="1" applyBorder="1" applyAlignment="1">
      <alignment horizontal="center" vertical="center" wrapText="1"/>
    </xf>
    <xf numFmtId="0" fontId="44" fillId="9" borderId="29" xfId="0" applyFont="1" applyFill="1" applyBorder="1" applyAlignment="1">
      <alignment horizontal="center" vertical="center" wrapText="1"/>
    </xf>
    <xf numFmtId="0" fontId="45" fillId="9" borderId="0" xfId="0" applyFont="1" applyFill="1" applyAlignment="1">
      <alignment horizontal="center" vertical="center" wrapText="1"/>
    </xf>
    <xf numFmtId="0" fontId="37" fillId="9" borderId="6" xfId="0" applyFont="1" applyFill="1" applyBorder="1" applyAlignment="1">
      <alignment horizontal="center" vertical="center" textRotation="90" wrapText="1"/>
    </xf>
    <xf numFmtId="0" fontId="45" fillId="9" borderId="3" xfId="0" applyFont="1" applyFill="1" applyBorder="1" applyAlignment="1">
      <alignment horizontal="center" vertical="center" wrapText="1"/>
    </xf>
    <xf numFmtId="0" fontId="45" fillId="9" borderId="20" xfId="0" applyFont="1" applyFill="1" applyBorder="1" applyAlignment="1">
      <alignment horizontal="center" vertical="center" wrapText="1"/>
    </xf>
    <xf numFmtId="0" fontId="45" fillId="9" borderId="11" xfId="0" applyFont="1" applyFill="1" applyBorder="1" applyAlignment="1">
      <alignment horizontal="center" vertical="center" wrapText="1"/>
    </xf>
    <xf numFmtId="0" fontId="45" fillId="9" borderId="22" xfId="0" applyFont="1" applyFill="1" applyBorder="1" applyAlignment="1">
      <alignment horizontal="center" vertical="center" wrapText="1"/>
    </xf>
    <xf numFmtId="0" fontId="45" fillId="9" borderId="21" xfId="0" applyFont="1" applyFill="1" applyBorder="1" applyAlignment="1">
      <alignment horizontal="center" vertical="center" wrapText="1"/>
    </xf>
    <xf numFmtId="0" fontId="45" fillId="9" borderId="4" xfId="0" applyFont="1" applyFill="1" applyBorder="1" applyAlignment="1">
      <alignment horizontal="center" vertical="center" wrapText="1"/>
    </xf>
    <xf numFmtId="0" fontId="44" fillId="3" borderId="35" xfId="0" applyFont="1" applyFill="1" applyBorder="1" applyAlignment="1">
      <alignment horizontal="center"/>
    </xf>
    <xf numFmtId="0" fontId="44" fillId="3" borderId="15" xfId="0" applyFont="1" applyFill="1" applyBorder="1" applyAlignment="1">
      <alignment horizontal="center"/>
    </xf>
    <xf numFmtId="0" fontId="44" fillId="3" borderId="9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90" fillId="0" borderId="0" xfId="0" applyFont="1" applyAlignment="1">
      <alignment horizontal="left" vertical="center" wrapText="1"/>
    </xf>
    <xf numFmtId="0" fontId="87" fillId="0" borderId="0" xfId="0" applyFont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91" fillId="0" borderId="0" xfId="0" applyFont="1" applyAlignment="1">
      <alignment horizontal="left" vertical="center" wrapText="1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5" fillId="0" borderId="0" xfId="0" applyFont="1"/>
    <xf numFmtId="0" fontId="45" fillId="0" borderId="0" xfId="0" applyFont="1" applyAlignment="1">
      <alignment horizontal="left" wrapText="1"/>
    </xf>
    <xf numFmtId="0" fontId="45" fillId="0" borderId="1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10" borderId="3" xfId="0" applyFont="1" applyFill="1" applyBorder="1" applyAlignment="1">
      <alignment horizontal="center" vertical="center" wrapText="1"/>
    </xf>
    <xf numFmtId="0" fontId="37" fillId="10" borderId="5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3" borderId="2" xfId="0" applyFont="1" applyFill="1" applyBorder="1" applyAlignment="1">
      <alignment horizontal="center"/>
    </xf>
    <xf numFmtId="0" fontId="94" fillId="0" borderId="2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wrapText="1"/>
    </xf>
    <xf numFmtId="0" fontId="37" fillId="0" borderId="48" xfId="0" applyFont="1" applyBorder="1" applyAlignment="1">
      <alignment horizontal="center"/>
    </xf>
    <xf numFmtId="0" fontId="94" fillId="0" borderId="0" xfId="0" applyFont="1" applyAlignment="1">
      <alignment horizontal="center" wrapText="1"/>
    </xf>
    <xf numFmtId="0" fontId="94" fillId="0" borderId="0" xfId="0" applyFont="1" applyAlignment="1">
      <alignment horizontal="center"/>
    </xf>
    <xf numFmtId="0" fontId="37" fillId="0" borderId="6" xfId="0" applyFont="1" applyBorder="1" applyAlignment="1">
      <alignment horizontal="center" vertical="center" textRotation="90" wrapText="1"/>
    </xf>
    <xf numFmtId="0" fontId="37" fillId="0" borderId="7" xfId="0" applyFont="1" applyBorder="1" applyAlignment="1">
      <alignment horizontal="center" vertical="center" textRotation="90" wrapText="1"/>
    </xf>
    <xf numFmtId="0" fontId="37" fillId="0" borderId="8" xfId="0" applyFont="1" applyBorder="1" applyAlignment="1">
      <alignment horizontal="center" vertical="center" textRotation="90" wrapText="1"/>
    </xf>
    <xf numFmtId="0" fontId="37" fillId="3" borderId="0" xfId="0" applyFont="1" applyFill="1" applyAlignment="1">
      <alignment horizontal="center"/>
    </xf>
    <xf numFmtId="0" fontId="37" fillId="3" borderId="6" xfId="0" applyFont="1" applyFill="1" applyBorder="1" applyAlignment="1">
      <alignment horizontal="center" vertical="center" textRotation="90" wrapText="1"/>
    </xf>
    <xf numFmtId="0" fontId="37" fillId="3" borderId="7" xfId="0" applyFont="1" applyFill="1" applyBorder="1" applyAlignment="1">
      <alignment horizontal="center" vertical="center" textRotation="90" wrapText="1"/>
    </xf>
    <xf numFmtId="0" fontId="37" fillId="3" borderId="8" xfId="0" applyFont="1" applyFill="1" applyBorder="1" applyAlignment="1">
      <alignment horizontal="center" vertical="center" textRotation="90" wrapText="1"/>
    </xf>
    <xf numFmtId="0" fontId="37" fillId="3" borderId="47" xfId="0" applyFont="1" applyFill="1" applyBorder="1" applyAlignment="1">
      <alignment horizontal="center" vertical="center" textRotation="90" wrapText="1"/>
    </xf>
    <xf numFmtId="0" fontId="59" fillId="0" borderId="0" xfId="0" applyFont="1" applyAlignment="1">
      <alignment horizontal="left" wrapText="1"/>
    </xf>
    <xf numFmtId="0" fontId="59" fillId="0" borderId="0" xfId="0" applyFont="1" applyAlignment="1">
      <alignment horizontal="center" wrapText="1"/>
    </xf>
    <xf numFmtId="0" fontId="37" fillId="3" borderId="0" xfId="0" applyFont="1" applyFill="1" applyAlignment="1">
      <alignment horizontal="center" wrapText="1"/>
    </xf>
    <xf numFmtId="0" fontId="14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9" fontId="22" fillId="3" borderId="6" xfId="0" applyNumberFormat="1" applyFont="1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14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left" vertical="center" wrapText="1"/>
    </xf>
    <xf numFmtId="0" fontId="48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5" xfId="0" applyFont="1" applyBorder="1" applyAlignment="1">
      <alignment horizontal="right" vertical="center"/>
    </xf>
    <xf numFmtId="0" fontId="38" fillId="2" borderId="4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49" fontId="22" fillId="3" borderId="6" xfId="0" applyNumberFormat="1" applyFont="1" applyFill="1" applyBorder="1" applyAlignment="1">
      <alignment horizontal="center" vertical="top"/>
    </xf>
    <xf numFmtId="0" fontId="25" fillId="3" borderId="7" xfId="0" applyFont="1" applyFill="1" applyBorder="1" applyAlignment="1">
      <alignment horizontal="center" vertical="top"/>
    </xf>
    <xf numFmtId="0" fontId="25" fillId="0" borderId="7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28" fillId="0" borderId="5" xfId="0" applyFont="1" applyBorder="1" applyAlignment="1">
      <alignment horizontal="right" vertical="center"/>
    </xf>
    <xf numFmtId="0" fontId="28" fillId="2" borderId="4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top"/>
    </xf>
    <xf numFmtId="49" fontId="3" fillId="3" borderId="6" xfId="0" applyNumberFormat="1" applyFont="1" applyFill="1" applyBorder="1" applyAlignment="1">
      <alignment horizontal="center" vertical="top"/>
    </xf>
    <xf numFmtId="0" fontId="23" fillId="3" borderId="8" xfId="0" applyFont="1" applyFill="1" applyBorder="1" applyAlignment="1">
      <alignment horizontal="center" vertical="top"/>
    </xf>
    <xf numFmtId="0" fontId="23" fillId="3" borderId="7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38" fillId="5" borderId="4" xfId="0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8" fillId="3" borderId="8" xfId="0" applyFont="1" applyFill="1" applyBorder="1" applyAlignment="1">
      <alignment horizontal="center" vertical="top"/>
    </xf>
    <xf numFmtId="0" fontId="8" fillId="3" borderId="7" xfId="0" applyFont="1" applyFill="1" applyBorder="1" applyAlignment="1">
      <alignment horizontal="center" vertical="top"/>
    </xf>
    <xf numFmtId="0" fontId="22" fillId="2" borderId="4" xfId="0" applyFont="1" applyFill="1" applyBorder="1"/>
    <xf numFmtId="0" fontId="22" fillId="2" borderId="5" xfId="0" applyFont="1" applyFill="1" applyBorder="1"/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2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0" borderId="14" xfId="0" applyFont="1" applyBorder="1" applyAlignment="1">
      <alignment vertical="top" wrapText="1"/>
    </xf>
    <xf numFmtId="0" fontId="0" fillId="0" borderId="14" xfId="0" applyBorder="1"/>
    <xf numFmtId="0" fontId="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3" fillId="2" borderId="4" xfId="0" applyFont="1" applyFill="1" applyBorder="1"/>
    <xf numFmtId="0" fontId="3" fillId="2" borderId="5" xfId="0" applyFont="1" applyFill="1" applyBorder="1"/>
    <xf numFmtId="0" fontId="22" fillId="3" borderId="8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vertical="center"/>
    </xf>
    <xf numFmtId="0" fontId="25" fillId="3" borderId="8" xfId="0" applyFont="1" applyFill="1" applyBorder="1"/>
    <xf numFmtId="0" fontId="25" fillId="3" borderId="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/>
    <xf numFmtId="0" fontId="0" fillId="3" borderId="8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37" fillId="0" borderId="0" xfId="0" applyFont="1" applyAlignment="1">
      <alignment horizontal="left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22" fillId="3" borderId="7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center" vertical="top" wrapText="1"/>
    </xf>
    <xf numFmtId="0" fontId="25" fillId="3" borderId="7" xfId="0" applyFont="1" applyFill="1" applyBorder="1" applyAlignment="1">
      <alignment horizontal="center" vertical="center"/>
    </xf>
    <xf numFmtId="0" fontId="22" fillId="5" borderId="4" xfId="0" applyFont="1" applyFill="1" applyBorder="1"/>
    <xf numFmtId="0" fontId="22" fillId="5" borderId="5" xfId="0" applyFont="1" applyFill="1" applyBorder="1"/>
    <xf numFmtId="0" fontId="2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2" fillId="3" borderId="6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49" fontId="22" fillId="3" borderId="8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/>
    </xf>
    <xf numFmtId="0" fontId="81" fillId="0" borderId="3" xfId="0" applyFont="1" applyBorder="1" applyAlignment="1">
      <alignment horizontal="right" vertical="center" wrapText="1"/>
    </xf>
    <xf numFmtId="0" fontId="81" fillId="0" borderId="4" xfId="0" applyFont="1" applyBorder="1" applyAlignment="1">
      <alignment horizontal="right" vertical="center" wrapText="1"/>
    </xf>
    <xf numFmtId="0" fontId="37" fillId="2" borderId="3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24" fillId="3" borderId="6" xfId="0" applyFont="1" applyFill="1" applyBorder="1" applyAlignment="1">
      <alignment horizontal="center" vertical="top" wrapText="1"/>
    </xf>
    <xf numFmtId="0" fontId="24" fillId="3" borderId="8" xfId="0" applyFont="1" applyFill="1" applyBorder="1" applyAlignment="1">
      <alignment horizontal="center" vertical="top" wrapText="1"/>
    </xf>
    <xf numFmtId="0" fontId="24" fillId="3" borderId="7" xfId="0" applyFont="1" applyFill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24" fillId="3" borderId="13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7" fillId="5" borderId="3" xfId="0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right" vertical="center" wrapText="1"/>
    </xf>
    <xf numFmtId="0" fontId="37" fillId="0" borderId="4" xfId="0" applyFont="1" applyBorder="1" applyAlignment="1">
      <alignment horizontal="right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45" fillId="3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4" fillId="3" borderId="6" xfId="0" applyFont="1" applyFill="1" applyBorder="1" applyAlignment="1">
      <alignment horizontal="center" vertical="top"/>
    </xf>
    <xf numFmtId="0" fontId="42" fillId="0" borderId="0" xfId="0" applyFont="1" applyAlignment="1">
      <alignment horizontal="center" wrapText="1"/>
    </xf>
    <xf numFmtId="0" fontId="43" fillId="3" borderId="0" xfId="0" applyFont="1" applyFill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81" fillId="2" borderId="3" xfId="0" applyFont="1" applyFill="1" applyBorder="1" applyAlignment="1">
      <alignment horizontal="center" vertical="center"/>
    </xf>
    <xf numFmtId="0" fontId="81" fillId="2" borderId="4" xfId="0" applyFont="1" applyFill="1" applyBorder="1" applyAlignment="1">
      <alignment horizontal="center" vertical="center"/>
    </xf>
    <xf numFmtId="0" fontId="81" fillId="2" borderId="5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top" wrapText="1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center" vertical="top" wrapText="1"/>
    </xf>
    <xf numFmtId="0" fontId="81" fillId="5" borderId="3" xfId="0" applyFont="1" applyFill="1" applyBorder="1" applyAlignment="1">
      <alignment horizontal="center" vertical="center"/>
    </xf>
    <xf numFmtId="0" fontId="81" fillId="5" borderId="4" xfId="0" applyFont="1" applyFill="1" applyBorder="1" applyAlignment="1">
      <alignment horizontal="center" vertical="center"/>
    </xf>
    <xf numFmtId="0" fontId="81" fillId="5" borderId="5" xfId="0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20" fillId="3" borderId="6" xfId="0" applyNumberFormat="1" applyFont="1" applyFill="1" applyBorder="1" applyAlignment="1">
      <alignment horizontal="center" vertical="top"/>
    </xf>
    <xf numFmtId="49" fontId="20" fillId="3" borderId="8" xfId="0" applyNumberFormat="1" applyFont="1" applyFill="1" applyBorder="1" applyAlignment="1">
      <alignment horizontal="center" vertical="top"/>
    </xf>
    <xf numFmtId="49" fontId="20" fillId="3" borderId="7" xfId="0" applyNumberFormat="1" applyFont="1" applyFill="1" applyBorder="1" applyAlignment="1">
      <alignment horizontal="center" vertical="top"/>
    </xf>
    <xf numFmtId="0" fontId="20" fillId="0" borderId="6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49" fontId="20" fillId="3" borderId="6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center"/>
    </xf>
    <xf numFmtId="49" fontId="20" fillId="3" borderId="7" xfId="0" applyNumberFormat="1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24" fillId="3" borderId="6" xfId="0" applyNumberFormat="1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/>
    </xf>
    <xf numFmtId="49" fontId="24" fillId="3" borderId="7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24" fillId="3" borderId="6" xfId="0" applyNumberFormat="1" applyFont="1" applyFill="1" applyBorder="1" applyAlignment="1">
      <alignment horizontal="center" vertical="top"/>
    </xf>
    <xf numFmtId="49" fontId="24" fillId="3" borderId="8" xfId="0" applyNumberFormat="1" applyFont="1" applyFill="1" applyBorder="1" applyAlignment="1">
      <alignment horizontal="center" vertical="top"/>
    </xf>
    <xf numFmtId="49" fontId="24" fillId="3" borderId="7" xfId="0" applyNumberFormat="1" applyFont="1" applyFill="1" applyBorder="1" applyAlignment="1">
      <alignment horizontal="center" vertical="top"/>
    </xf>
    <xf numFmtId="0" fontId="24" fillId="0" borderId="6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6" fillId="3" borderId="0" xfId="0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left"/>
      <protection hidden="1"/>
    </xf>
    <xf numFmtId="0" fontId="36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wrapText="1"/>
    </xf>
    <xf numFmtId="0" fontId="6" fillId="11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1" borderId="5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right" vertical="center" wrapText="1"/>
    </xf>
    <xf numFmtId="0" fontId="77" fillId="3" borderId="14" xfId="0" applyFont="1" applyFill="1" applyBorder="1" applyAlignment="1">
      <alignment horizontal="right" vertical="center" wrapText="1"/>
    </xf>
    <xf numFmtId="0" fontId="77" fillId="3" borderId="11" xfId="0" applyFont="1" applyFill="1" applyBorder="1" applyAlignment="1">
      <alignment horizontal="right" vertical="center" wrapText="1"/>
    </xf>
    <xf numFmtId="0" fontId="77" fillId="3" borderId="9" xfId="0" applyFont="1" applyFill="1" applyBorder="1" applyAlignment="1">
      <alignment horizontal="right" vertical="center" wrapText="1"/>
    </xf>
    <xf numFmtId="0" fontId="77" fillId="3" borderId="1" xfId="0" applyFont="1" applyFill="1" applyBorder="1" applyAlignment="1">
      <alignment horizontal="right" vertical="center" wrapText="1"/>
    </xf>
    <xf numFmtId="0" fontId="77" fillId="3" borderId="10" xfId="0" applyFont="1" applyFill="1" applyBorder="1" applyAlignment="1">
      <alignment horizontal="right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42" fillId="3" borderId="0" xfId="0" applyFont="1" applyFill="1" applyAlignment="1">
      <alignment horizontal="center" wrapText="1"/>
    </xf>
    <xf numFmtId="0" fontId="6" fillId="3" borderId="13" xfId="0" applyFont="1" applyFill="1" applyBorder="1" applyAlignment="1">
      <alignment horizontal="right" vertical="top" wrapText="1"/>
    </xf>
    <xf numFmtId="0" fontId="40" fillId="3" borderId="14" xfId="0" applyFont="1" applyFill="1" applyBorder="1" applyAlignment="1">
      <alignment horizontal="right" vertical="top" wrapText="1"/>
    </xf>
    <xf numFmtId="0" fontId="40" fillId="3" borderId="11" xfId="0" applyFont="1" applyFill="1" applyBorder="1" applyAlignment="1">
      <alignment horizontal="right" vertical="top" wrapText="1"/>
    </xf>
    <xf numFmtId="0" fontId="40" fillId="3" borderId="9" xfId="0" applyFont="1" applyFill="1" applyBorder="1" applyAlignment="1">
      <alignment horizontal="right" vertical="top" wrapText="1"/>
    </xf>
    <xf numFmtId="0" fontId="40" fillId="3" borderId="1" xfId="0" applyFont="1" applyFill="1" applyBorder="1" applyAlignment="1">
      <alignment horizontal="right" vertical="top" wrapText="1"/>
    </xf>
    <xf numFmtId="0" fontId="40" fillId="3" borderId="10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vertical="center" wrapText="1"/>
    </xf>
    <xf numFmtId="0" fontId="39" fillId="3" borderId="2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38" fillId="12" borderId="3" xfId="0" applyFont="1" applyFill="1" applyBorder="1" applyAlignment="1">
      <alignment horizontal="center" vertical="center" wrapText="1"/>
    </xf>
    <xf numFmtId="0" fontId="38" fillId="12" borderId="4" xfId="0" applyFont="1" applyFill="1" applyBorder="1" applyAlignment="1">
      <alignment horizontal="center" vertical="center" wrapText="1"/>
    </xf>
    <xf numFmtId="0" fontId="38" fillId="12" borderId="5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top" wrapText="1"/>
    </xf>
    <xf numFmtId="0" fontId="42" fillId="0" borderId="0" xfId="0" applyFont="1" applyAlignment="1">
      <alignment horizontal="center"/>
    </xf>
    <xf numFmtId="0" fontId="22" fillId="0" borderId="8" xfId="0" applyFont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3" xfId="0" applyFont="1" applyFill="1" applyBorder="1" applyAlignment="1">
      <alignment horizontal="center" vertical="top" wrapText="1"/>
    </xf>
    <xf numFmtId="0" fontId="22" fillId="3" borderId="5" xfId="0" applyFont="1" applyFill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top" wrapText="1"/>
    </xf>
    <xf numFmtId="0" fontId="28" fillId="2" borderId="3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textRotation="90" wrapText="1"/>
    </xf>
    <xf numFmtId="0" fontId="32" fillId="0" borderId="7" xfId="0" applyFont="1" applyBorder="1" applyAlignment="1">
      <alignment horizontal="center" vertical="center" textRotation="90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horizontal="left" wrapText="1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6" fillId="0" borderId="15" xfId="0" applyFont="1" applyBorder="1" applyAlignment="1">
      <alignment horizontal="right" vertical="center"/>
    </xf>
    <xf numFmtId="0" fontId="66" fillId="0" borderId="14" xfId="0" applyFont="1" applyBorder="1" applyAlignment="1">
      <alignment horizontal="right" vertical="center"/>
    </xf>
    <xf numFmtId="0" fontId="66" fillId="0" borderId="11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66" fillId="0" borderId="12" xfId="0" applyFont="1" applyBorder="1" applyAlignment="1">
      <alignment horizontal="right" vertical="center"/>
    </xf>
    <xf numFmtId="0" fontId="66" fillId="0" borderId="9" xfId="0" applyFont="1" applyBorder="1" applyAlignment="1">
      <alignment horizontal="right" vertical="center"/>
    </xf>
    <xf numFmtId="0" fontId="66" fillId="0" borderId="1" xfId="0" applyFont="1" applyBorder="1" applyAlignment="1">
      <alignment horizontal="right" vertical="center"/>
    </xf>
    <xf numFmtId="0" fontId="66" fillId="0" borderId="10" xfId="0" applyFont="1" applyBorder="1" applyAlignment="1">
      <alignment horizontal="right" vertical="center"/>
    </xf>
    <xf numFmtId="0" fontId="80" fillId="2" borderId="13" xfId="0" applyFont="1" applyFill="1" applyBorder="1" applyAlignment="1">
      <alignment horizontal="center" vertical="center"/>
    </xf>
    <xf numFmtId="0" fontId="80" fillId="2" borderId="4" xfId="0" applyFont="1" applyFill="1" applyBorder="1" applyAlignment="1">
      <alignment horizontal="center" vertical="center"/>
    </xf>
    <xf numFmtId="0" fontId="80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49" fontId="29" fillId="0" borderId="6" xfId="0" applyNumberFormat="1" applyFont="1" applyBorder="1" applyAlignment="1" applyProtection="1">
      <alignment horizontal="center" vertical="center" wrapText="1"/>
      <protection hidden="1"/>
    </xf>
    <xf numFmtId="49" fontId="29" fillId="0" borderId="8" xfId="0" applyNumberFormat="1" applyFont="1" applyBorder="1" applyAlignment="1" applyProtection="1">
      <alignment horizontal="center" vertical="center" wrapText="1"/>
      <protection hidden="1"/>
    </xf>
    <xf numFmtId="49" fontId="29" fillId="0" borderId="7" xfId="0" applyNumberFormat="1" applyFont="1" applyBorder="1" applyAlignment="1" applyProtection="1">
      <alignment horizontal="center" vertical="center" wrapText="1"/>
      <protection hidden="1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9" fontId="29" fillId="0" borderId="6" xfId="0" applyNumberFormat="1" applyFont="1" applyBorder="1" applyAlignment="1" applyProtection="1">
      <alignment horizontal="center" vertical="center"/>
      <protection hidden="1"/>
    </xf>
    <xf numFmtId="49" fontId="29" fillId="0" borderId="8" xfId="0" applyNumberFormat="1" applyFont="1" applyBorder="1" applyAlignment="1" applyProtection="1">
      <alignment horizontal="center" vertical="center"/>
      <protection hidden="1"/>
    </xf>
    <xf numFmtId="49" fontId="29" fillId="0" borderId="7" xfId="0" applyNumberFormat="1" applyFont="1" applyBorder="1" applyAlignment="1" applyProtection="1">
      <alignment horizontal="center" vertical="center"/>
      <protection hidden="1"/>
    </xf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6" xfId="0" applyFont="1" applyBorder="1" applyAlignment="1" applyProtection="1">
      <alignment horizontal="center" vertical="center"/>
      <protection hidden="1"/>
    </xf>
    <xf numFmtId="0" fontId="29" fillId="0" borderId="8" xfId="0" applyFont="1" applyBorder="1" applyAlignment="1" applyProtection="1">
      <alignment horizontal="center" vertical="center"/>
      <protection hidden="1"/>
    </xf>
    <xf numFmtId="0" fontId="29" fillId="0" borderId="7" xfId="0" applyFont="1" applyBorder="1" applyAlignment="1" applyProtection="1">
      <alignment horizontal="center" vertical="center"/>
      <protection hidden="1"/>
    </xf>
    <xf numFmtId="164" fontId="29" fillId="0" borderId="6" xfId="0" applyNumberFormat="1" applyFont="1" applyBorder="1" applyAlignment="1" applyProtection="1">
      <alignment horizontal="center" vertical="center"/>
      <protection hidden="1"/>
    </xf>
    <xf numFmtId="164" fontId="29" fillId="0" borderId="8" xfId="0" applyNumberFormat="1" applyFont="1" applyBorder="1" applyAlignment="1" applyProtection="1">
      <alignment horizontal="center" vertical="center"/>
      <protection hidden="1"/>
    </xf>
    <xf numFmtId="164" fontId="29" fillId="0" borderId="7" xfId="0" applyNumberFormat="1" applyFont="1" applyBorder="1" applyAlignment="1" applyProtection="1">
      <alignment horizontal="center" vertical="center"/>
      <protection hidden="1"/>
    </xf>
    <xf numFmtId="0" fontId="29" fillId="0" borderId="6" xfId="0" applyFont="1" applyBorder="1" applyAlignment="1" applyProtection="1">
      <alignment horizontal="center" vertical="center" wrapText="1"/>
      <protection hidden="1"/>
    </xf>
    <xf numFmtId="0" fontId="29" fillId="0" borderId="8" xfId="0" applyFont="1" applyBorder="1" applyAlignment="1" applyProtection="1">
      <alignment horizontal="center" vertical="center" wrapText="1"/>
      <protection hidden="1"/>
    </xf>
    <xf numFmtId="0" fontId="29" fillId="0" borderId="7" xfId="0" applyFont="1" applyBorder="1" applyAlignment="1" applyProtection="1">
      <alignment horizontal="center" vertical="center" wrapText="1"/>
      <protection hidden="1"/>
    </xf>
  </cellXfs>
  <cellStyles count="6">
    <cellStyle name="Итоги_текст" xfId="2" xr:uid="{6755B3FD-791B-4B60-AE3A-C1E0C4740612}"/>
    <cellStyle name="мой новый" xfId="3" xr:uid="{EB4F5D0B-8D46-47BA-BA5C-B55D8713EE50}"/>
    <cellStyle name="Обычный" xfId="0" builtinId="0"/>
    <cellStyle name="Обычный 2" xfId="1" xr:uid="{186F275B-FAA6-485D-833C-DB167B07BD47}"/>
    <cellStyle name="Подзаголовок" xfId="4" xr:uid="{A183495F-6451-440C-B072-67EE8359372A}"/>
    <cellStyle name="Примечание 2" xfId="5" xr:uid="{E10FA595-2E34-4E7B-946F-49BA9234E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topLeftCell="A43" zoomScaleNormal="100" zoomScaleSheetLayoutView="100" workbookViewId="0">
      <selection activeCell="A50" sqref="A50:H51"/>
    </sheetView>
  </sheetViews>
  <sheetFormatPr defaultRowHeight="20.100000000000001" customHeight="1" x14ac:dyDescent="0.25"/>
  <cols>
    <col min="1" max="16384" width="9.140625" style="107"/>
  </cols>
  <sheetData>
    <row r="1" spans="1:9" s="100" customFormat="1" ht="48" customHeight="1" x14ac:dyDescent="0.25">
      <c r="A1" s="735" t="s">
        <v>317</v>
      </c>
      <c r="B1" s="735"/>
      <c r="C1" s="735"/>
      <c r="D1" s="735"/>
      <c r="E1" s="735"/>
      <c r="F1" s="735"/>
      <c r="G1" s="735"/>
      <c r="H1" s="735"/>
      <c r="I1" s="735"/>
    </row>
    <row r="2" spans="1:9" s="100" customFormat="1" ht="14.25" customHeight="1" x14ac:dyDescent="0.25">
      <c r="A2" s="735"/>
      <c r="B2" s="735"/>
      <c r="C2" s="735"/>
      <c r="D2" s="735"/>
      <c r="E2" s="735"/>
      <c r="F2" s="735"/>
      <c r="G2" s="735"/>
      <c r="H2" s="735"/>
    </row>
    <row r="3" spans="1:9" s="100" customFormat="1" ht="53.25" customHeight="1" x14ac:dyDescent="0.25">
      <c r="A3" s="736" t="s">
        <v>609</v>
      </c>
      <c r="B3" s="736"/>
      <c r="C3" s="736"/>
      <c r="D3" s="736"/>
      <c r="E3" s="736"/>
      <c r="F3" s="736"/>
      <c r="G3" s="736"/>
      <c r="H3" s="736"/>
      <c r="I3" s="736"/>
    </row>
    <row r="4" spans="1:9" s="100" customFormat="1" ht="21.75" customHeight="1" x14ac:dyDescent="0.25">
      <c r="A4" s="734" t="s">
        <v>565</v>
      </c>
      <c r="B4" s="734"/>
      <c r="C4" s="734"/>
      <c r="D4" s="734"/>
      <c r="E4" s="734"/>
      <c r="F4" s="734"/>
      <c r="G4" s="734"/>
      <c r="H4" s="734"/>
      <c r="I4" s="734"/>
    </row>
    <row r="5" spans="1:9" s="100" customFormat="1" ht="20.100000000000001" customHeight="1" x14ac:dyDescent="0.25">
      <c r="A5" s="733" t="s">
        <v>566</v>
      </c>
      <c r="B5" s="733"/>
      <c r="C5" s="733"/>
      <c r="D5" s="733"/>
      <c r="E5" s="733"/>
      <c r="F5" s="733"/>
      <c r="G5" s="733"/>
      <c r="H5" s="733"/>
    </row>
    <row r="6" spans="1:9" s="100" customFormat="1" ht="20.100000000000001" customHeight="1" x14ac:dyDescent="0.25">
      <c r="A6" s="733" t="s">
        <v>567</v>
      </c>
      <c r="B6" s="733"/>
      <c r="C6" s="733"/>
      <c r="D6" s="733"/>
      <c r="E6" s="733"/>
      <c r="F6" s="733"/>
      <c r="G6" s="733"/>
      <c r="H6" s="733"/>
    </row>
    <row r="7" spans="1:9" s="100" customFormat="1" ht="35.25" customHeight="1" x14ac:dyDescent="0.25">
      <c r="A7" s="733" t="s">
        <v>568</v>
      </c>
      <c r="B7" s="733"/>
      <c r="C7" s="733"/>
      <c r="D7" s="733"/>
      <c r="E7" s="733"/>
      <c r="F7" s="733"/>
      <c r="G7" s="733"/>
      <c r="H7" s="733"/>
      <c r="I7" s="733"/>
    </row>
    <row r="8" spans="1:9" s="100" customFormat="1" ht="20.100000000000001" customHeight="1" x14ac:dyDescent="0.25">
      <c r="A8" s="734" t="s">
        <v>569</v>
      </c>
      <c r="B8" s="734"/>
      <c r="C8" s="734"/>
      <c r="D8" s="734"/>
      <c r="E8" s="734"/>
      <c r="F8" s="734"/>
      <c r="G8" s="734"/>
      <c r="H8" s="734"/>
    </row>
    <row r="9" spans="1:9" s="100" customFormat="1" ht="20.100000000000001" customHeight="1" x14ac:dyDescent="0.25">
      <c r="A9" s="733" t="s">
        <v>570</v>
      </c>
      <c r="B9" s="733"/>
      <c r="C9" s="733"/>
      <c r="D9" s="733"/>
      <c r="E9" s="733"/>
      <c r="F9" s="733"/>
      <c r="G9" s="733"/>
      <c r="H9" s="733"/>
    </row>
    <row r="10" spans="1:9" s="100" customFormat="1" ht="20.100000000000001" customHeight="1" x14ac:dyDescent="0.25">
      <c r="A10" s="733" t="s">
        <v>571</v>
      </c>
      <c r="B10" s="733"/>
      <c r="C10" s="733"/>
      <c r="D10" s="733"/>
      <c r="E10" s="733"/>
      <c r="F10" s="733"/>
      <c r="G10" s="733"/>
      <c r="H10" s="733"/>
    </row>
    <row r="11" spans="1:9" s="100" customFormat="1" ht="37.5" customHeight="1" x14ac:dyDescent="0.25">
      <c r="A11" s="733" t="s">
        <v>572</v>
      </c>
      <c r="B11" s="733"/>
      <c r="C11" s="733"/>
      <c r="D11" s="733"/>
      <c r="E11" s="733"/>
      <c r="F11" s="733"/>
      <c r="G11" s="733"/>
      <c r="H11" s="733"/>
      <c r="I11" s="733"/>
    </row>
    <row r="12" spans="1:9" s="100" customFormat="1" ht="38.25" customHeight="1" x14ac:dyDescent="0.25">
      <c r="A12" s="734" t="s">
        <v>573</v>
      </c>
      <c r="B12" s="734"/>
      <c r="C12" s="734"/>
      <c r="D12" s="734"/>
      <c r="E12" s="734"/>
      <c r="F12" s="734"/>
      <c r="G12" s="734"/>
      <c r="H12" s="734"/>
      <c r="I12" s="734"/>
    </row>
    <row r="13" spans="1:9" s="100" customFormat="1" ht="20.100000000000001" customHeight="1" x14ac:dyDescent="0.25">
      <c r="A13" s="733" t="s">
        <v>574</v>
      </c>
      <c r="B13" s="733"/>
      <c r="C13" s="733"/>
      <c r="D13" s="733"/>
      <c r="E13" s="733"/>
      <c r="F13" s="733"/>
      <c r="G13" s="733"/>
      <c r="H13" s="733"/>
    </row>
    <row r="14" spans="1:9" s="100" customFormat="1" ht="20.100000000000001" customHeight="1" x14ac:dyDescent="0.25">
      <c r="A14" s="734" t="s">
        <v>575</v>
      </c>
      <c r="B14" s="734"/>
      <c r="C14" s="734"/>
      <c r="D14" s="734"/>
      <c r="E14" s="734"/>
      <c r="F14" s="734"/>
      <c r="G14" s="734"/>
      <c r="H14" s="734"/>
    </row>
    <row r="15" spans="1:9" s="100" customFormat="1" ht="20.100000000000001" customHeight="1" x14ac:dyDescent="0.25">
      <c r="A15" s="733" t="s">
        <v>576</v>
      </c>
      <c r="B15" s="733"/>
      <c r="C15" s="733"/>
      <c r="D15" s="733"/>
      <c r="E15" s="733"/>
      <c r="F15" s="733"/>
      <c r="G15" s="733"/>
      <c r="H15" s="733"/>
    </row>
    <row r="16" spans="1:9" s="100" customFormat="1" ht="20.100000000000001" customHeight="1" x14ac:dyDescent="0.25">
      <c r="A16" s="734" t="s">
        <v>577</v>
      </c>
      <c r="B16" s="734"/>
      <c r="C16" s="734"/>
      <c r="D16" s="734"/>
      <c r="E16" s="734"/>
      <c r="F16" s="734"/>
      <c r="G16" s="734"/>
      <c r="H16" s="734"/>
    </row>
    <row r="17" spans="1:9" s="100" customFormat="1" ht="20.100000000000001" customHeight="1" x14ac:dyDescent="0.25">
      <c r="A17" s="733" t="s">
        <v>578</v>
      </c>
      <c r="B17" s="733"/>
      <c r="C17" s="733"/>
      <c r="D17" s="733"/>
      <c r="E17" s="733"/>
      <c r="F17" s="733"/>
      <c r="G17" s="733"/>
      <c r="H17" s="733"/>
    </row>
    <row r="18" spans="1:9" s="100" customFormat="1" ht="20.100000000000001" customHeight="1" x14ac:dyDescent="0.25">
      <c r="A18" s="734" t="s">
        <v>579</v>
      </c>
      <c r="B18" s="734"/>
      <c r="C18" s="734"/>
      <c r="D18" s="734"/>
      <c r="E18" s="734"/>
      <c r="F18" s="734"/>
      <c r="G18" s="734"/>
      <c r="H18" s="734"/>
    </row>
    <row r="19" spans="1:9" s="100" customFormat="1" ht="20.100000000000001" customHeight="1" x14ac:dyDescent="0.25">
      <c r="A19" s="733" t="s">
        <v>580</v>
      </c>
      <c r="B19" s="733"/>
      <c r="C19" s="733"/>
      <c r="D19" s="733"/>
      <c r="E19" s="733"/>
      <c r="F19" s="733"/>
      <c r="G19" s="733"/>
      <c r="H19" s="733"/>
    </row>
    <row r="20" spans="1:9" s="100" customFormat="1" ht="41.25" customHeight="1" x14ac:dyDescent="0.25">
      <c r="A20" s="733" t="s">
        <v>581</v>
      </c>
      <c r="B20" s="733"/>
      <c r="C20" s="733"/>
      <c r="D20" s="733"/>
      <c r="E20" s="733"/>
      <c r="F20" s="733"/>
      <c r="G20" s="733"/>
      <c r="H20" s="733"/>
      <c r="I20" s="733"/>
    </row>
    <row r="21" spans="1:9" s="100" customFormat="1" ht="20.100000000000001" customHeight="1" x14ac:dyDescent="0.25">
      <c r="A21" s="734" t="s">
        <v>582</v>
      </c>
      <c r="B21" s="734"/>
      <c r="C21" s="734"/>
      <c r="D21" s="734"/>
      <c r="E21" s="734"/>
      <c r="F21" s="734"/>
      <c r="G21" s="734"/>
      <c r="H21" s="734"/>
    </row>
    <row r="22" spans="1:9" s="100" customFormat="1" ht="20.100000000000001" customHeight="1" x14ac:dyDescent="0.25">
      <c r="A22" s="733" t="s">
        <v>583</v>
      </c>
      <c r="B22" s="733"/>
      <c r="C22" s="733"/>
      <c r="D22" s="733"/>
      <c r="E22" s="733"/>
      <c r="F22" s="733"/>
      <c r="G22" s="733"/>
      <c r="H22" s="733"/>
    </row>
    <row r="23" spans="1:9" s="100" customFormat="1" ht="38.25" customHeight="1" x14ac:dyDescent="0.25">
      <c r="A23" s="733" t="s">
        <v>584</v>
      </c>
      <c r="B23" s="733"/>
      <c r="C23" s="733"/>
      <c r="D23" s="733"/>
      <c r="E23" s="733"/>
      <c r="F23" s="733"/>
      <c r="G23" s="733"/>
      <c r="H23" s="733"/>
      <c r="I23" s="733"/>
    </row>
    <row r="24" spans="1:9" s="100" customFormat="1" ht="20.100000000000001" customHeight="1" x14ac:dyDescent="0.25">
      <c r="A24" s="734" t="s">
        <v>585</v>
      </c>
      <c r="B24" s="734"/>
      <c r="C24" s="734"/>
      <c r="D24" s="734"/>
      <c r="E24" s="734"/>
      <c r="F24" s="734"/>
      <c r="G24" s="734"/>
      <c r="H24" s="734"/>
    </row>
    <row r="25" spans="1:9" s="483" customFormat="1" ht="20.100000000000001" customHeight="1" x14ac:dyDescent="0.25">
      <c r="A25" s="733" t="s">
        <v>586</v>
      </c>
      <c r="B25" s="733"/>
      <c r="C25" s="733"/>
      <c r="D25" s="733"/>
      <c r="E25" s="733"/>
      <c r="F25" s="733"/>
      <c r="G25" s="733"/>
      <c r="H25" s="733"/>
    </row>
    <row r="26" spans="1:9" s="483" customFormat="1" ht="33.75" customHeight="1" x14ac:dyDescent="0.25">
      <c r="A26" s="733" t="s">
        <v>587</v>
      </c>
      <c r="B26" s="733"/>
      <c r="C26" s="733"/>
      <c r="D26" s="733"/>
      <c r="E26" s="733"/>
      <c r="F26" s="733"/>
      <c r="G26" s="733"/>
      <c r="H26" s="733"/>
      <c r="I26" s="733"/>
    </row>
    <row r="27" spans="1:9" s="483" customFormat="1" ht="20.100000000000001" customHeight="1" x14ac:dyDescent="0.25">
      <c r="A27" s="734" t="s">
        <v>588</v>
      </c>
      <c r="B27" s="734"/>
      <c r="C27" s="734"/>
      <c r="D27" s="734"/>
      <c r="E27" s="734"/>
      <c r="F27" s="734"/>
      <c r="G27" s="734"/>
      <c r="H27" s="734"/>
    </row>
    <row r="28" spans="1:9" s="483" customFormat="1" ht="20.100000000000001" customHeight="1" x14ac:dyDescent="0.25">
      <c r="A28" s="733" t="s">
        <v>589</v>
      </c>
      <c r="B28" s="733"/>
      <c r="C28" s="733"/>
      <c r="D28" s="733"/>
      <c r="E28" s="733"/>
      <c r="F28" s="733"/>
      <c r="G28" s="733"/>
      <c r="H28" s="733"/>
    </row>
    <row r="29" spans="1:9" s="483" customFormat="1" ht="20.100000000000001" customHeight="1" x14ac:dyDescent="0.25">
      <c r="A29" s="733" t="s">
        <v>590</v>
      </c>
      <c r="B29" s="733"/>
      <c r="C29" s="733"/>
      <c r="D29" s="733"/>
      <c r="E29" s="733"/>
      <c r="F29" s="733"/>
      <c r="G29" s="733"/>
      <c r="H29" s="733"/>
    </row>
    <row r="30" spans="1:9" s="483" customFormat="1" ht="20.100000000000001" customHeight="1" x14ac:dyDescent="0.25">
      <c r="A30" s="734" t="s">
        <v>592</v>
      </c>
      <c r="B30" s="734"/>
      <c r="C30" s="734"/>
      <c r="D30" s="734"/>
      <c r="E30" s="734"/>
      <c r="F30" s="734"/>
      <c r="G30" s="734"/>
      <c r="H30" s="734"/>
    </row>
    <row r="31" spans="1:9" s="483" customFormat="1" ht="20.100000000000001" customHeight="1" x14ac:dyDescent="0.25">
      <c r="A31" s="733" t="s">
        <v>593</v>
      </c>
      <c r="B31" s="733"/>
      <c r="C31" s="733"/>
      <c r="D31" s="733"/>
      <c r="E31" s="733"/>
      <c r="F31" s="733"/>
      <c r="G31" s="733"/>
      <c r="H31" s="733"/>
    </row>
    <row r="32" spans="1:9" s="483" customFormat="1" ht="20.100000000000001" customHeight="1" x14ac:dyDescent="0.25">
      <c r="A32" s="733" t="s">
        <v>591</v>
      </c>
      <c r="B32" s="733"/>
      <c r="C32" s="733"/>
      <c r="D32" s="733"/>
      <c r="E32" s="733"/>
      <c r="F32" s="733"/>
      <c r="G32" s="733"/>
      <c r="H32" s="733"/>
    </row>
    <row r="33" spans="1:9" s="483" customFormat="1" ht="20.25" customHeight="1" x14ac:dyDescent="0.25">
      <c r="A33" s="734" t="s">
        <v>594</v>
      </c>
      <c r="B33" s="734"/>
      <c r="C33" s="734"/>
      <c r="D33" s="734"/>
      <c r="E33" s="734"/>
      <c r="F33" s="734"/>
      <c r="G33" s="734"/>
      <c r="H33" s="734"/>
      <c r="I33" s="734"/>
    </row>
    <row r="34" spans="1:9" s="483" customFormat="1" ht="20.100000000000001" customHeight="1" x14ac:dyDescent="0.25">
      <c r="A34" s="733" t="s">
        <v>595</v>
      </c>
      <c r="B34" s="733"/>
      <c r="C34" s="733"/>
      <c r="D34" s="733"/>
      <c r="E34" s="733"/>
      <c r="F34" s="733"/>
      <c r="G34" s="733"/>
      <c r="H34" s="733"/>
    </row>
    <row r="35" spans="1:9" s="483" customFormat="1" ht="20.100000000000001" customHeight="1" x14ac:dyDescent="0.25">
      <c r="A35" s="733" t="s">
        <v>596</v>
      </c>
      <c r="B35" s="733"/>
      <c r="C35" s="733"/>
      <c r="D35" s="733"/>
      <c r="E35" s="733"/>
      <c r="F35" s="733"/>
      <c r="G35" s="733"/>
      <c r="H35" s="733"/>
    </row>
    <row r="36" spans="1:9" s="483" customFormat="1" ht="20.25" customHeight="1" x14ac:dyDescent="0.25">
      <c r="A36" s="734" t="s">
        <v>599</v>
      </c>
      <c r="B36" s="734"/>
      <c r="C36" s="734"/>
      <c r="D36" s="734"/>
      <c r="E36" s="734"/>
      <c r="F36" s="734"/>
      <c r="G36" s="734"/>
      <c r="H36" s="734"/>
      <c r="I36" s="734"/>
    </row>
    <row r="37" spans="1:9" s="483" customFormat="1" ht="20.100000000000001" customHeight="1" x14ac:dyDescent="0.25">
      <c r="A37" s="733" t="s">
        <v>597</v>
      </c>
      <c r="B37" s="733"/>
      <c r="C37" s="733"/>
      <c r="D37" s="733"/>
      <c r="E37" s="733"/>
      <c r="F37" s="733"/>
      <c r="G37" s="733"/>
      <c r="H37" s="733"/>
    </row>
    <row r="38" spans="1:9" s="483" customFormat="1" ht="20.100000000000001" customHeight="1" x14ac:dyDescent="0.25">
      <c r="A38" s="733" t="s">
        <v>598</v>
      </c>
      <c r="B38" s="733"/>
      <c r="C38" s="733"/>
      <c r="D38" s="733"/>
      <c r="E38" s="733"/>
      <c r="F38" s="733"/>
      <c r="G38" s="733"/>
      <c r="H38" s="733"/>
    </row>
    <row r="39" spans="1:9" s="483" customFormat="1" ht="20.25" customHeight="1" x14ac:dyDescent="0.25">
      <c r="A39" s="734" t="s">
        <v>600</v>
      </c>
      <c r="B39" s="734"/>
      <c r="C39" s="734"/>
      <c r="D39" s="734"/>
      <c r="E39" s="734"/>
      <c r="F39" s="734"/>
      <c r="G39" s="734"/>
      <c r="H39" s="734"/>
      <c r="I39" s="734"/>
    </row>
    <row r="40" spans="1:9" s="483" customFormat="1" ht="20.100000000000001" customHeight="1" x14ac:dyDescent="0.25">
      <c r="A40" s="733" t="s">
        <v>601</v>
      </c>
      <c r="B40" s="733"/>
      <c r="C40" s="733"/>
      <c r="D40" s="733"/>
      <c r="E40" s="733"/>
      <c r="F40" s="733"/>
      <c r="G40" s="733"/>
      <c r="H40" s="733"/>
    </row>
    <row r="41" spans="1:9" s="483" customFormat="1" ht="20.100000000000001" customHeight="1" x14ac:dyDescent="0.25">
      <c r="A41" s="733" t="s">
        <v>602</v>
      </c>
      <c r="B41" s="733"/>
      <c r="C41" s="733"/>
      <c r="D41" s="733"/>
      <c r="E41" s="733"/>
      <c r="F41" s="733"/>
      <c r="G41" s="733"/>
      <c r="H41" s="733"/>
    </row>
    <row r="42" spans="1:9" s="428" customFormat="1" ht="20.100000000000001" customHeight="1" x14ac:dyDescent="0.25">
      <c r="A42" s="737" t="s">
        <v>603</v>
      </c>
      <c r="B42" s="737"/>
      <c r="C42" s="737"/>
      <c r="D42" s="737"/>
      <c r="E42" s="737"/>
      <c r="F42" s="737"/>
      <c r="G42" s="737"/>
      <c r="H42" s="737"/>
    </row>
    <row r="43" spans="1:9" s="428" customFormat="1" ht="40.5" customHeight="1" x14ac:dyDescent="0.25">
      <c r="A43" s="737" t="s">
        <v>604</v>
      </c>
      <c r="B43" s="737"/>
      <c r="C43" s="737"/>
      <c r="D43" s="737"/>
      <c r="E43" s="737"/>
      <c r="F43" s="737"/>
      <c r="G43" s="737"/>
      <c r="H43" s="737"/>
    </row>
    <row r="44" spans="1:9" s="428" customFormat="1" ht="34.5" customHeight="1" x14ac:dyDescent="0.25">
      <c r="A44" s="737" t="s">
        <v>693</v>
      </c>
      <c r="B44" s="737"/>
      <c r="C44" s="737"/>
      <c r="D44" s="737"/>
      <c r="E44" s="737"/>
      <c r="F44" s="737"/>
      <c r="G44" s="737"/>
      <c r="H44" s="737"/>
    </row>
    <row r="45" spans="1:9" s="483" customFormat="1" ht="20.100000000000001" customHeight="1" x14ac:dyDescent="0.25">
      <c r="A45" s="737" t="s">
        <v>605</v>
      </c>
      <c r="B45" s="737"/>
      <c r="C45" s="737"/>
      <c r="D45" s="737"/>
      <c r="E45" s="737"/>
      <c r="F45" s="737"/>
      <c r="G45" s="737"/>
      <c r="H45" s="737"/>
    </row>
    <row r="46" spans="1:9" s="483" customFormat="1" ht="20.100000000000001" customHeight="1" x14ac:dyDescent="0.25">
      <c r="A46" s="737" t="s">
        <v>606</v>
      </c>
      <c r="B46" s="737"/>
      <c r="C46" s="737"/>
      <c r="D46" s="737"/>
      <c r="E46" s="737"/>
      <c r="F46" s="737"/>
      <c r="G46" s="737"/>
      <c r="H46" s="737"/>
    </row>
    <row r="47" spans="1:9" s="483" customFormat="1" ht="34.5" customHeight="1" x14ac:dyDescent="0.25">
      <c r="A47" s="737" t="s">
        <v>694</v>
      </c>
      <c r="B47" s="737"/>
      <c r="C47" s="737"/>
      <c r="D47" s="737"/>
      <c r="E47" s="737"/>
      <c r="F47" s="737"/>
      <c r="G47" s="737"/>
      <c r="H47" s="737"/>
    </row>
    <row r="48" spans="1:9" s="483" customFormat="1" ht="34.5" customHeight="1" x14ac:dyDescent="0.25">
      <c r="A48" s="737" t="s">
        <v>695</v>
      </c>
      <c r="B48" s="737"/>
      <c r="C48" s="737"/>
      <c r="D48" s="737"/>
      <c r="E48" s="737"/>
      <c r="F48" s="737"/>
      <c r="G48" s="737"/>
      <c r="H48" s="737"/>
    </row>
    <row r="49" spans="1:8" s="483" customFormat="1" ht="34.5" customHeight="1" x14ac:dyDescent="0.25">
      <c r="A49" s="737" t="s">
        <v>696</v>
      </c>
      <c r="B49" s="737"/>
      <c r="C49" s="737"/>
      <c r="D49" s="737"/>
      <c r="E49" s="737"/>
      <c r="F49" s="737"/>
      <c r="G49" s="737"/>
      <c r="H49" s="737"/>
    </row>
    <row r="50" spans="1:8" s="483" customFormat="1" ht="20.100000000000001" customHeight="1" x14ac:dyDescent="0.25">
      <c r="A50" s="737" t="s">
        <v>607</v>
      </c>
      <c r="B50" s="737"/>
      <c r="C50" s="737"/>
      <c r="D50" s="737"/>
      <c r="E50" s="737"/>
      <c r="F50" s="737"/>
      <c r="G50" s="737"/>
      <c r="H50" s="737"/>
    </row>
    <row r="51" spans="1:8" s="483" customFormat="1" ht="20.100000000000001" customHeight="1" x14ac:dyDescent="0.25">
      <c r="A51" s="737" t="s">
        <v>608</v>
      </c>
      <c r="B51" s="737"/>
      <c r="C51" s="737"/>
      <c r="D51" s="737"/>
      <c r="E51" s="737"/>
      <c r="F51" s="737"/>
      <c r="G51" s="737"/>
      <c r="H51" s="737"/>
    </row>
  </sheetData>
  <mergeCells count="51">
    <mergeCell ref="A48:H48"/>
    <mergeCell ref="A49:H49"/>
    <mergeCell ref="A45:H45"/>
    <mergeCell ref="A46:H46"/>
    <mergeCell ref="A50:H50"/>
    <mergeCell ref="A51:H51"/>
    <mergeCell ref="A34:H34"/>
    <mergeCell ref="A35:H35"/>
    <mergeCell ref="A42:H42"/>
    <mergeCell ref="A43:H43"/>
    <mergeCell ref="A44:H44"/>
    <mergeCell ref="A36:I36"/>
    <mergeCell ref="A37:H37"/>
    <mergeCell ref="A38:H38"/>
    <mergeCell ref="A39:I39"/>
    <mergeCell ref="A40:H40"/>
    <mergeCell ref="A41:H41"/>
    <mergeCell ref="A47:H47"/>
    <mergeCell ref="A33:I33"/>
    <mergeCell ref="A27:H27"/>
    <mergeCell ref="A28:H28"/>
    <mergeCell ref="A29:H29"/>
    <mergeCell ref="A30:H30"/>
    <mergeCell ref="A31:H31"/>
    <mergeCell ref="A32:H32"/>
    <mergeCell ref="A26:I26"/>
    <mergeCell ref="A21:H21"/>
    <mergeCell ref="A22:H22"/>
    <mergeCell ref="A24:H24"/>
    <mergeCell ref="A25:H25"/>
    <mergeCell ref="A20:I20"/>
    <mergeCell ref="A23:I23"/>
    <mergeCell ref="A14:H14"/>
    <mergeCell ref="A15:H15"/>
    <mergeCell ref="A16:H16"/>
    <mergeCell ref="A17:H17"/>
    <mergeCell ref="A18:H18"/>
    <mergeCell ref="A19:H19"/>
    <mergeCell ref="A13:H13"/>
    <mergeCell ref="A12:I12"/>
    <mergeCell ref="A5:H5"/>
    <mergeCell ref="A6:H6"/>
    <mergeCell ref="A1:I1"/>
    <mergeCell ref="A2:H2"/>
    <mergeCell ref="A3:I3"/>
    <mergeCell ref="A4:I4"/>
    <mergeCell ref="A7:I7"/>
    <mergeCell ref="A11:I11"/>
    <mergeCell ref="A8:H8"/>
    <mergeCell ref="A9:H9"/>
    <mergeCell ref="A10:H10"/>
  </mergeCells>
  <pageMargins left="0.78740157480314965" right="0.59055118110236227" top="0.78740157480314965" bottom="0.78740157480314965" header="0.31496062992125984" footer="0.31496062992125984"/>
  <pageSetup paperSize="9" firstPageNumber="144" orientation="portrait" useFirstPageNumber="1" r:id="rId1"/>
  <headerFooter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U108"/>
  <sheetViews>
    <sheetView view="pageBreakPreview" topLeftCell="A82" zoomScale="115" zoomScaleNormal="100" zoomScaleSheetLayoutView="115" workbookViewId="0">
      <selection activeCell="E68" sqref="E68:E74"/>
    </sheetView>
  </sheetViews>
  <sheetFormatPr defaultRowHeight="15" x14ac:dyDescent="0.25"/>
  <cols>
    <col min="1" max="1" width="9.140625" style="529"/>
    <col min="2" max="2" width="15.42578125" customWidth="1"/>
    <col min="3" max="3" width="17.5703125" customWidth="1"/>
    <col min="4" max="4" width="8.42578125" customWidth="1"/>
    <col min="5" max="5" width="10.7109375" customWidth="1"/>
    <col min="6" max="6" width="8.5703125" customWidth="1"/>
    <col min="7" max="7" width="26.5703125" customWidth="1"/>
    <col min="8" max="8" width="7.140625" customWidth="1"/>
    <col min="9" max="9" width="8" customWidth="1"/>
    <col min="10" max="10" width="12.85546875" customWidth="1"/>
    <col min="11" max="11" width="14.7109375" customWidth="1"/>
    <col min="12" max="14" width="9.140625" style="9"/>
  </cols>
  <sheetData>
    <row r="1" spans="1:16" ht="39.75" customHeight="1" x14ac:dyDescent="0.3">
      <c r="A1" s="765" t="s">
        <v>414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</row>
    <row r="3" spans="1:16" s="119" customFormat="1" ht="14.25" customHeight="1" x14ac:dyDescent="0.25">
      <c r="A3" s="983" t="s">
        <v>318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</row>
    <row r="4" spans="1:16" s="119" customFormat="1" ht="33.75" customHeight="1" x14ac:dyDescent="0.25">
      <c r="A4" s="984" t="s">
        <v>407</v>
      </c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656"/>
      <c r="M4" s="656"/>
      <c r="N4" s="656"/>
      <c r="O4" s="126"/>
      <c r="P4" s="126"/>
    </row>
    <row r="5" spans="1:16" s="119" customFormat="1" ht="12.75" customHeight="1" x14ac:dyDescent="0.25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656"/>
      <c r="M5" s="656"/>
      <c r="N5" s="656"/>
      <c r="O5" s="126"/>
      <c r="P5" s="126"/>
    </row>
    <row r="6" spans="1:16" s="119" customFormat="1" ht="57.75" customHeight="1" x14ac:dyDescent="0.25">
      <c r="A6" s="984" t="s">
        <v>415</v>
      </c>
      <c r="B6" s="984"/>
      <c r="C6" s="984"/>
      <c r="D6" s="984"/>
      <c r="E6" s="984"/>
      <c r="F6" s="984"/>
      <c r="G6" s="984"/>
      <c r="H6" s="984"/>
      <c r="I6" s="984"/>
      <c r="J6" s="984"/>
      <c r="K6" s="984"/>
      <c r="L6" s="657"/>
      <c r="M6" s="657"/>
      <c r="N6" s="657"/>
      <c r="O6" s="120"/>
      <c r="P6" s="120"/>
    </row>
    <row r="7" spans="1:16" s="119" customFormat="1" ht="33.75" customHeight="1" x14ac:dyDescent="0.25">
      <c r="A7" s="984" t="s">
        <v>416</v>
      </c>
      <c r="B7" s="984"/>
      <c r="C7" s="984"/>
      <c r="D7" s="984"/>
      <c r="E7" s="984"/>
      <c r="F7" s="984"/>
      <c r="G7" s="984"/>
      <c r="H7" s="984"/>
      <c r="I7" s="984"/>
      <c r="J7" s="984"/>
      <c r="K7" s="984"/>
      <c r="L7" s="657"/>
      <c r="M7" s="657"/>
      <c r="N7" s="657"/>
      <c r="O7" s="120"/>
      <c r="P7" s="120"/>
    </row>
    <row r="8" spans="1:16" s="119" customFormat="1" ht="30.75" customHeight="1" x14ac:dyDescent="0.25">
      <c r="A8" s="984" t="s">
        <v>417</v>
      </c>
      <c r="B8" s="984"/>
      <c r="C8" s="984"/>
      <c r="D8" s="984"/>
      <c r="E8" s="984"/>
      <c r="F8" s="984"/>
      <c r="G8" s="984"/>
      <c r="H8" s="984"/>
      <c r="I8" s="984"/>
      <c r="J8" s="984"/>
      <c r="K8" s="984"/>
      <c r="L8" s="124"/>
      <c r="M8" s="124"/>
      <c r="N8" s="124"/>
    </row>
    <row r="9" spans="1:16" s="122" customFormat="1" ht="14.25" customHeight="1" x14ac:dyDescent="0.3">
      <c r="A9" s="981" t="s">
        <v>408</v>
      </c>
      <c r="B9" s="981"/>
      <c r="C9" s="981"/>
      <c r="D9" s="981"/>
      <c r="E9" s="981"/>
      <c r="F9" s="981"/>
      <c r="G9" s="981"/>
      <c r="H9" s="981"/>
      <c r="I9" s="981"/>
      <c r="J9" s="981"/>
      <c r="K9" s="981"/>
      <c r="L9" s="658"/>
      <c r="M9" s="658"/>
      <c r="N9" s="658"/>
    </row>
    <row r="10" spans="1:16" s="122" customFormat="1" ht="14.25" customHeight="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658"/>
      <c r="M10" s="658"/>
      <c r="N10" s="658"/>
    </row>
    <row r="11" spans="1:16" s="122" customFormat="1" ht="14.25" customHeight="1" x14ac:dyDescent="0.3">
      <c r="A11" s="981" t="s">
        <v>409</v>
      </c>
      <c r="B11" s="981"/>
      <c r="C11" s="981"/>
      <c r="D11" s="981"/>
      <c r="E11" s="981"/>
      <c r="F11" s="981"/>
      <c r="G11" s="981"/>
      <c r="H11" s="981"/>
      <c r="I11" s="981"/>
      <c r="J11" s="981"/>
      <c r="K11" s="981"/>
      <c r="L11" s="658"/>
      <c r="M11" s="658"/>
      <c r="N11" s="658"/>
    </row>
    <row r="12" spans="1:16" s="122" customFormat="1" ht="14.25" customHeight="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658"/>
      <c r="M12" s="658"/>
      <c r="N12" s="658"/>
    </row>
    <row r="13" spans="1:16" s="122" customFormat="1" ht="12" customHeight="1" x14ac:dyDescent="0.25">
      <c r="A13" s="122" t="s">
        <v>359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658"/>
      <c r="M13" s="658"/>
      <c r="N13" s="658"/>
    </row>
    <row r="14" spans="1:16" s="124" customFormat="1" ht="14.25" customHeight="1" x14ac:dyDescent="0.35">
      <c r="A14" s="982" t="s">
        <v>410</v>
      </c>
      <c r="B14" s="982"/>
      <c r="C14" s="982"/>
      <c r="D14" s="982"/>
      <c r="E14" s="982"/>
      <c r="F14" s="982"/>
      <c r="G14" s="982"/>
      <c r="H14" s="982"/>
      <c r="I14" s="982"/>
      <c r="J14" s="982"/>
      <c r="K14" s="982"/>
    </row>
    <row r="15" spans="1:16" s="124" customFormat="1" ht="14.25" customHeight="1" x14ac:dyDescent="0.25">
      <c r="A15" s="982" t="s">
        <v>411</v>
      </c>
      <c r="B15" s="982"/>
      <c r="C15" s="982"/>
      <c r="D15" s="982"/>
      <c r="E15" s="982"/>
      <c r="F15" s="982"/>
      <c r="G15" s="982"/>
      <c r="H15" s="982"/>
      <c r="I15" s="982"/>
      <c r="J15" s="982"/>
      <c r="K15" s="982"/>
    </row>
    <row r="16" spans="1:16" s="124" customFormat="1" ht="14.25" customHeight="1" x14ac:dyDescent="0.25">
      <c r="A16" s="982" t="s">
        <v>412</v>
      </c>
      <c r="B16" s="982"/>
      <c r="C16" s="982"/>
      <c r="D16" s="982"/>
      <c r="E16" s="982"/>
      <c r="F16" s="982"/>
      <c r="G16" s="982"/>
      <c r="H16" s="982"/>
      <c r="I16" s="982"/>
      <c r="J16" s="982"/>
      <c r="K16" s="982"/>
    </row>
    <row r="17" spans="1:21" s="124" customFormat="1" ht="14.25" customHeight="1" x14ac:dyDescent="0.25">
      <c r="A17" s="982" t="s">
        <v>413</v>
      </c>
      <c r="B17" s="982"/>
      <c r="C17" s="982"/>
      <c r="D17" s="982"/>
      <c r="E17" s="982"/>
      <c r="F17" s="982"/>
      <c r="G17" s="982"/>
      <c r="H17" s="982"/>
      <c r="I17" s="982"/>
      <c r="J17" s="982"/>
      <c r="K17" s="982"/>
    </row>
    <row r="18" spans="1:21" s="124" customFormat="1" ht="14.25" customHeight="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21" s="113" customFormat="1" ht="18.75" customHeight="1" x14ac:dyDescent="0.25">
      <c r="A19" s="795" t="s">
        <v>418</v>
      </c>
      <c r="B19" s="795"/>
      <c r="C19" s="795"/>
      <c r="D19" s="795"/>
      <c r="E19" s="795"/>
      <c r="F19" s="795"/>
      <c r="G19" s="795"/>
      <c r="H19" s="795"/>
      <c r="I19" s="795"/>
      <c r="J19" s="795"/>
      <c r="K19" s="795"/>
      <c r="L19" s="795"/>
      <c r="M19" s="795"/>
      <c r="N19" s="795"/>
      <c r="O19" s="795"/>
      <c r="P19" s="795"/>
      <c r="Q19" s="795"/>
      <c r="R19" s="795"/>
      <c r="S19" s="795"/>
      <c r="T19" s="795"/>
      <c r="U19" s="795"/>
    </row>
    <row r="20" spans="1:21" s="113" customFormat="1" ht="18.75" customHeight="1" x14ac:dyDescent="0.25">
      <c r="A20" s="112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659"/>
      <c r="M20" s="659"/>
      <c r="N20" s="659"/>
      <c r="O20" s="112"/>
      <c r="P20" s="112"/>
      <c r="Q20" s="112"/>
      <c r="R20" s="112"/>
      <c r="S20" s="112"/>
      <c r="T20" s="112"/>
      <c r="U20" s="112"/>
    </row>
    <row r="21" spans="1:21" s="124" customFormat="1" ht="14.25" customHeight="1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  <row r="22" spans="1:21" s="113" customFormat="1" ht="18.75" customHeight="1" x14ac:dyDescent="0.25">
      <c r="A22" s="112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659"/>
      <c r="M22" s="659"/>
      <c r="N22" s="659"/>
      <c r="O22" s="112"/>
      <c r="P22" s="112"/>
      <c r="Q22" s="112"/>
      <c r="R22" s="112"/>
      <c r="S22" s="112"/>
      <c r="T22" s="112"/>
      <c r="U22" s="112"/>
    </row>
    <row r="23" spans="1:21" s="113" customFormat="1" ht="18.75" customHeight="1" x14ac:dyDescent="0.2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659"/>
      <c r="M23" s="659"/>
      <c r="N23" s="659"/>
      <c r="O23" s="112"/>
      <c r="P23" s="112"/>
      <c r="Q23" s="112"/>
      <c r="R23" s="112"/>
      <c r="S23" s="112"/>
      <c r="T23" s="112"/>
      <c r="U23" s="112"/>
    </row>
    <row r="24" spans="1:21" s="124" customFormat="1" ht="14.25" customHeight="1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</row>
    <row r="25" spans="1:21" s="113" customFormat="1" ht="18.75" customHeight="1" x14ac:dyDescent="0.25">
      <c r="A25" s="112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659"/>
      <c r="M25" s="659"/>
      <c r="N25" s="659"/>
      <c r="O25" s="112"/>
      <c r="P25" s="112"/>
      <c r="Q25" s="112"/>
      <c r="R25" s="112"/>
      <c r="S25" s="112"/>
      <c r="T25" s="112"/>
      <c r="U25" s="112"/>
    </row>
    <row r="26" spans="1:21" s="124" customFormat="1" ht="14.25" customHeight="1" x14ac:dyDescent="0.25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</row>
    <row r="27" spans="1:21" ht="15.75" x14ac:dyDescent="0.25">
      <c r="A27" s="542" t="s">
        <v>312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22.5" customHeight="1" x14ac:dyDescent="0.25">
      <c r="A28" s="980" t="s">
        <v>139</v>
      </c>
      <c r="B28" s="978" t="s">
        <v>140</v>
      </c>
      <c r="C28" s="978" t="s">
        <v>141</v>
      </c>
      <c r="D28" s="978" t="s">
        <v>142</v>
      </c>
      <c r="E28" s="978"/>
      <c r="F28" s="978" t="s">
        <v>163</v>
      </c>
      <c r="G28" s="978" t="s">
        <v>48</v>
      </c>
      <c r="H28" s="978" t="s">
        <v>49</v>
      </c>
      <c r="I28" s="978" t="s">
        <v>143</v>
      </c>
      <c r="J28" s="979" t="s">
        <v>144</v>
      </c>
      <c r="K28" s="979"/>
    </row>
    <row r="29" spans="1:21" ht="14.25" customHeight="1" x14ac:dyDescent="0.25">
      <c r="A29" s="980"/>
      <c r="B29" s="978"/>
      <c r="C29" s="978"/>
      <c r="D29" s="1" t="s">
        <v>145</v>
      </c>
      <c r="E29" s="1" t="s">
        <v>146</v>
      </c>
      <c r="F29" s="978"/>
      <c r="G29" s="978"/>
      <c r="H29" s="978"/>
      <c r="I29" s="978"/>
      <c r="J29" s="1" t="s">
        <v>54</v>
      </c>
      <c r="K29" s="1" t="s">
        <v>53</v>
      </c>
    </row>
    <row r="30" spans="1:21" x14ac:dyDescent="0.25">
      <c r="A30" s="543">
        <v>1</v>
      </c>
      <c r="B30" s="26">
        <v>2</v>
      </c>
      <c r="C30" s="37">
        <v>3</v>
      </c>
      <c r="D30" s="26">
        <v>4</v>
      </c>
      <c r="E30" s="26">
        <v>5</v>
      </c>
      <c r="F30" s="26">
        <v>6</v>
      </c>
      <c r="G30" s="26">
        <v>7</v>
      </c>
      <c r="H30" s="26">
        <v>8</v>
      </c>
      <c r="I30" s="26">
        <v>9</v>
      </c>
      <c r="J30" s="26">
        <v>10</v>
      </c>
      <c r="K30" s="26">
        <v>11</v>
      </c>
    </row>
    <row r="31" spans="1:21" ht="17.100000000000001" customHeight="1" x14ac:dyDescent="0.25">
      <c r="A31" s="944" t="s">
        <v>299</v>
      </c>
      <c r="B31" s="944"/>
      <c r="C31" s="944"/>
      <c r="D31" s="944"/>
      <c r="E31" s="944"/>
      <c r="F31" s="944"/>
      <c r="G31" s="944"/>
      <c r="H31" s="944"/>
      <c r="I31" s="944"/>
      <c r="J31" s="944"/>
      <c r="K31" s="944"/>
    </row>
    <row r="32" spans="1:21" ht="17.100000000000001" customHeight="1" x14ac:dyDescent="0.25">
      <c r="A32" s="971" t="s">
        <v>16</v>
      </c>
      <c r="B32" s="971"/>
      <c r="C32" s="971"/>
      <c r="D32" s="971"/>
      <c r="E32" s="971"/>
      <c r="F32" s="971"/>
      <c r="G32" s="971"/>
      <c r="H32" s="971"/>
      <c r="I32" s="971"/>
      <c r="J32" s="971"/>
      <c r="K32" s="971"/>
    </row>
    <row r="33" spans="1:14" ht="17.100000000000001" customHeight="1" x14ac:dyDescent="0.25">
      <c r="A33" s="945" t="s">
        <v>33</v>
      </c>
      <c r="B33" s="946"/>
      <c r="C33" s="946"/>
      <c r="D33" s="946"/>
      <c r="E33" s="946"/>
      <c r="F33" s="946"/>
      <c r="G33" s="946"/>
      <c r="H33" s="946"/>
      <c r="I33" s="946"/>
      <c r="J33" s="946"/>
      <c r="K33" s="947"/>
    </row>
    <row r="34" spans="1:14" s="3" customFormat="1" ht="17.100000000000001" customHeight="1" x14ac:dyDescent="0.25">
      <c r="A34" s="957" t="s">
        <v>523</v>
      </c>
      <c r="B34" s="902" t="s">
        <v>147</v>
      </c>
      <c r="C34" s="961" t="s">
        <v>148</v>
      </c>
      <c r="D34" s="961">
        <v>0.8</v>
      </c>
      <c r="E34" s="961">
        <v>222.5</v>
      </c>
      <c r="F34" s="6">
        <v>0.75</v>
      </c>
      <c r="G34" s="38" t="s">
        <v>149</v>
      </c>
      <c r="H34" s="39" t="s">
        <v>150</v>
      </c>
      <c r="I34" s="39" t="s">
        <v>151</v>
      </c>
      <c r="J34" s="26">
        <f>ROUND(F34*D34/3600,4)</f>
        <v>2.0000000000000001E-4</v>
      </c>
      <c r="K34" s="26">
        <f>ROUND(F34*E34/1000000,4)</f>
        <v>2.0000000000000001E-4</v>
      </c>
      <c r="L34" s="647"/>
      <c r="M34" s="647"/>
      <c r="N34" s="358"/>
    </row>
    <row r="35" spans="1:14" s="3" customFormat="1" ht="17.100000000000001" customHeight="1" x14ac:dyDescent="0.25">
      <c r="A35" s="958"/>
      <c r="B35" s="960"/>
      <c r="C35" s="962"/>
      <c r="D35" s="962"/>
      <c r="E35" s="962"/>
      <c r="F35" s="6">
        <v>1.5</v>
      </c>
      <c r="G35" s="41" t="s">
        <v>152</v>
      </c>
      <c r="H35" s="40" t="s">
        <v>153</v>
      </c>
      <c r="I35" s="39" t="s">
        <v>151</v>
      </c>
      <c r="J35" s="26">
        <f>ROUND((F35*D34/3600)*(1-I35),4)</f>
        <v>2.9999999999999997E-4</v>
      </c>
      <c r="K35" s="26">
        <f>ROUND((F35*E34/1000000)*(1-I35),4)</f>
        <v>2.9999999999999997E-4</v>
      </c>
      <c r="L35" s="647"/>
      <c r="M35" s="647"/>
      <c r="N35" s="358"/>
    </row>
    <row r="36" spans="1:14" s="3" customFormat="1" ht="17.100000000000001" customHeight="1" x14ac:dyDescent="0.25">
      <c r="A36" s="958"/>
      <c r="B36" s="960"/>
      <c r="C36" s="962"/>
      <c r="D36" s="962"/>
      <c r="E36" s="962"/>
      <c r="F36" s="6">
        <v>0.92</v>
      </c>
      <c r="G36" s="38" t="s">
        <v>154</v>
      </c>
      <c r="H36" s="39" t="s">
        <v>155</v>
      </c>
      <c r="I36" s="39" t="s">
        <v>151</v>
      </c>
      <c r="J36" s="26">
        <f>ROUND((F36*D34/3600)*(1-I36),4)</f>
        <v>2.0000000000000001E-4</v>
      </c>
      <c r="K36" s="26">
        <f>ROUND((F36*E34/1000000)*(1-I36),4)</f>
        <v>2.0000000000000001E-4</v>
      </c>
      <c r="L36" s="647"/>
      <c r="M36" s="647"/>
      <c r="N36" s="358"/>
    </row>
    <row r="37" spans="1:14" s="3" customFormat="1" ht="17.100000000000001" customHeight="1" x14ac:dyDescent="0.25">
      <c r="A37" s="958"/>
      <c r="B37" s="960"/>
      <c r="C37" s="962"/>
      <c r="D37" s="962"/>
      <c r="E37" s="962"/>
      <c r="F37" s="6">
        <v>3.3</v>
      </c>
      <c r="G37" s="38" t="s">
        <v>156</v>
      </c>
      <c r="H37" s="39" t="s">
        <v>157</v>
      </c>
      <c r="I37" s="39" t="s">
        <v>151</v>
      </c>
      <c r="J37" s="26">
        <f>ROUND((F37*D34/3600)*(1-I37),4)</f>
        <v>6.9999999999999999E-4</v>
      </c>
      <c r="K37" s="26">
        <f>ROUND((F37*E34/1000000)*(1-I37),4)</f>
        <v>6.9999999999999999E-4</v>
      </c>
      <c r="L37" s="647"/>
      <c r="M37" s="647"/>
      <c r="N37" s="358"/>
    </row>
    <row r="38" spans="1:14" s="3" customFormat="1" ht="17.100000000000001" customHeight="1" x14ac:dyDescent="0.25">
      <c r="A38" s="958"/>
      <c r="B38" s="960"/>
      <c r="C38" s="962"/>
      <c r="D38" s="962"/>
      <c r="E38" s="962"/>
      <c r="F38" s="6">
        <v>10.69</v>
      </c>
      <c r="G38" s="38" t="s">
        <v>158</v>
      </c>
      <c r="H38" s="39" t="s">
        <v>159</v>
      </c>
      <c r="I38" s="39" t="s">
        <v>151</v>
      </c>
      <c r="J38" s="26">
        <f>ROUND((F38*D34/3600)*(1-I38),4)</f>
        <v>2.3999999999999998E-3</v>
      </c>
      <c r="K38" s="26">
        <f>ROUND((F38*E34/1000000)*(1-I38),4)</f>
        <v>2.3999999999999998E-3</v>
      </c>
      <c r="L38" s="647"/>
      <c r="M38" s="647"/>
      <c r="N38" s="358"/>
    </row>
    <row r="39" spans="1:14" s="3" customFormat="1" ht="17.100000000000001" customHeight="1" x14ac:dyDescent="0.25">
      <c r="A39" s="958"/>
      <c r="B39" s="960"/>
      <c r="C39" s="962"/>
      <c r="D39" s="962"/>
      <c r="E39" s="962"/>
      <c r="F39" s="6">
        <v>1.4</v>
      </c>
      <c r="G39" s="42" t="s">
        <v>160</v>
      </c>
      <c r="H39" s="43">
        <v>2908</v>
      </c>
      <c r="I39" s="39" t="s">
        <v>151</v>
      </c>
      <c r="J39" s="26">
        <f>ROUND((F39*D34/3600)*(1-I39),4)</f>
        <v>2.9999999999999997E-4</v>
      </c>
      <c r="K39" s="26">
        <f>ROUND((F39*E34/1000000)*(1-I39),4)</f>
        <v>2.9999999999999997E-4</v>
      </c>
      <c r="L39" s="647"/>
      <c r="M39" s="647"/>
      <c r="N39" s="358"/>
    </row>
    <row r="40" spans="1:14" s="3" customFormat="1" ht="17.100000000000001" customHeight="1" x14ac:dyDescent="0.25">
      <c r="A40" s="959"/>
      <c r="B40" s="903"/>
      <c r="C40" s="963"/>
      <c r="D40" s="963"/>
      <c r="E40" s="963"/>
      <c r="F40" s="6">
        <v>13.3</v>
      </c>
      <c r="G40" s="38" t="s">
        <v>161</v>
      </c>
      <c r="H40" s="39" t="s">
        <v>162</v>
      </c>
      <c r="I40" s="39" t="s">
        <v>151</v>
      </c>
      <c r="J40" s="26">
        <f>ROUND((F40*D34/3600)*(1-I40),4)</f>
        <v>3.0000000000000001E-3</v>
      </c>
      <c r="K40" s="26">
        <f>ROUND((F40*E34/1000000)*(1-I40),4)</f>
        <v>3.0000000000000001E-3</v>
      </c>
      <c r="L40" s="660">
        <f>SUM(J34:J40)</f>
        <v>7.0999999999999995E-3</v>
      </c>
      <c r="M40" s="660">
        <f>SUM(K34:K40)</f>
        <v>7.0999999999999995E-3</v>
      </c>
      <c r="N40" s="358"/>
    </row>
    <row r="41" spans="1:14" ht="17.100000000000001" customHeight="1" x14ac:dyDescent="0.25">
      <c r="A41" s="971" t="s">
        <v>97</v>
      </c>
      <c r="B41" s="971"/>
      <c r="C41" s="971"/>
      <c r="D41" s="971"/>
      <c r="E41" s="971"/>
      <c r="F41" s="971"/>
      <c r="G41" s="971"/>
      <c r="H41" s="971"/>
      <c r="I41" s="971"/>
      <c r="J41" s="971"/>
      <c r="K41" s="971"/>
    </row>
    <row r="42" spans="1:14" ht="17.100000000000001" customHeight="1" x14ac:dyDescent="0.25">
      <c r="A42" s="945" t="s">
        <v>125</v>
      </c>
      <c r="B42" s="946"/>
      <c r="C42" s="946"/>
      <c r="D42" s="946"/>
      <c r="E42" s="946"/>
      <c r="F42" s="946"/>
      <c r="G42" s="946"/>
      <c r="H42" s="946"/>
      <c r="I42" s="946"/>
      <c r="J42" s="946"/>
      <c r="K42" s="947"/>
    </row>
    <row r="43" spans="1:14" ht="17.100000000000001" customHeight="1" x14ac:dyDescent="0.25">
      <c r="A43" s="957">
        <v>801101</v>
      </c>
      <c r="B43" s="902" t="s">
        <v>147</v>
      </c>
      <c r="C43" s="961" t="s">
        <v>148</v>
      </c>
      <c r="D43" s="961">
        <v>0.8</v>
      </c>
      <c r="E43" s="961">
        <v>247.2</v>
      </c>
      <c r="F43" s="6">
        <v>0.75</v>
      </c>
      <c r="G43" s="38" t="s">
        <v>149</v>
      </c>
      <c r="H43" s="39" t="s">
        <v>150</v>
      </c>
      <c r="I43" s="39" t="s">
        <v>151</v>
      </c>
      <c r="J43" s="26">
        <f>ROUND(F43*D43/3600,4)</f>
        <v>2.0000000000000001E-4</v>
      </c>
      <c r="K43" s="26">
        <f>ROUND(F43*E43/1000000,4)</f>
        <v>2.0000000000000001E-4</v>
      </c>
    </row>
    <row r="44" spans="1:14" ht="17.100000000000001" customHeight="1" x14ac:dyDescent="0.25">
      <c r="A44" s="958"/>
      <c r="B44" s="960"/>
      <c r="C44" s="962"/>
      <c r="D44" s="962"/>
      <c r="E44" s="962"/>
      <c r="F44" s="6">
        <v>1.5</v>
      </c>
      <c r="G44" s="41" t="s">
        <v>152</v>
      </c>
      <c r="H44" s="40" t="s">
        <v>153</v>
      </c>
      <c r="I44" s="39" t="s">
        <v>151</v>
      </c>
      <c r="J44" s="26">
        <f>ROUND((F44*D43/3600)*(1-I44),4)</f>
        <v>2.9999999999999997E-4</v>
      </c>
      <c r="K44" s="26">
        <f>ROUND((F44*E43/1000000)*(1-I44),4)</f>
        <v>4.0000000000000002E-4</v>
      </c>
    </row>
    <row r="45" spans="1:14" ht="17.100000000000001" customHeight="1" x14ac:dyDescent="0.25">
      <c r="A45" s="958"/>
      <c r="B45" s="960"/>
      <c r="C45" s="962"/>
      <c r="D45" s="962"/>
      <c r="E45" s="962"/>
      <c r="F45" s="6">
        <v>0.92</v>
      </c>
      <c r="G45" s="38" t="s">
        <v>154</v>
      </c>
      <c r="H45" s="39" t="s">
        <v>155</v>
      </c>
      <c r="I45" s="39" t="s">
        <v>151</v>
      </c>
      <c r="J45" s="26">
        <f>ROUND((F45*D43/3600)*(1-I45),4)</f>
        <v>2.0000000000000001E-4</v>
      </c>
      <c r="K45" s="26">
        <f>ROUND((F45*E43/1000000)*(1-I45),4)</f>
        <v>2.0000000000000001E-4</v>
      </c>
    </row>
    <row r="46" spans="1:14" ht="17.100000000000001" customHeight="1" x14ac:dyDescent="0.25">
      <c r="A46" s="958"/>
      <c r="B46" s="960"/>
      <c r="C46" s="962"/>
      <c r="D46" s="962"/>
      <c r="E46" s="962"/>
      <c r="F46" s="6">
        <v>3.3</v>
      </c>
      <c r="G46" s="38" t="s">
        <v>156</v>
      </c>
      <c r="H46" s="39" t="s">
        <v>157</v>
      </c>
      <c r="I46" s="39" t="s">
        <v>151</v>
      </c>
      <c r="J46" s="26">
        <f>ROUND((F46*D43/3600)*(1-I46),4)</f>
        <v>6.9999999999999999E-4</v>
      </c>
      <c r="K46" s="26">
        <f>ROUND((F46*E43/1000000)*(1-I46),4)</f>
        <v>8.0000000000000004E-4</v>
      </c>
    </row>
    <row r="47" spans="1:14" ht="17.100000000000001" customHeight="1" x14ac:dyDescent="0.25">
      <c r="A47" s="958"/>
      <c r="B47" s="960"/>
      <c r="C47" s="962"/>
      <c r="D47" s="962"/>
      <c r="E47" s="962"/>
      <c r="F47" s="6">
        <v>10.69</v>
      </c>
      <c r="G47" s="38" t="s">
        <v>158</v>
      </c>
      <c r="H47" s="39" t="s">
        <v>159</v>
      </c>
      <c r="I47" s="39" t="s">
        <v>151</v>
      </c>
      <c r="J47" s="26">
        <f>ROUND((F47*D43/3600)*(1-I47),4)</f>
        <v>2.3999999999999998E-3</v>
      </c>
      <c r="K47" s="26">
        <f>ROUND((F47*E43/1000000)*(1-I47),4)</f>
        <v>2.5999999999999999E-3</v>
      </c>
    </row>
    <row r="48" spans="1:14" ht="17.100000000000001" customHeight="1" x14ac:dyDescent="0.25">
      <c r="A48" s="958"/>
      <c r="B48" s="960"/>
      <c r="C48" s="962"/>
      <c r="D48" s="962"/>
      <c r="E48" s="962"/>
      <c r="F48" s="6">
        <v>1.4</v>
      </c>
      <c r="G48" s="42" t="s">
        <v>160</v>
      </c>
      <c r="H48" s="43">
        <v>2908</v>
      </c>
      <c r="I48" s="39" t="s">
        <v>151</v>
      </c>
      <c r="J48" s="26">
        <f>ROUND((F48*D43/3600)*(1-I48),4)</f>
        <v>2.9999999999999997E-4</v>
      </c>
      <c r="K48" s="26">
        <f>ROUND((F48*E43/1000000)*(1-I48),4)</f>
        <v>2.9999999999999997E-4</v>
      </c>
    </row>
    <row r="49" spans="1:14" ht="17.100000000000001" customHeight="1" x14ac:dyDescent="0.25">
      <c r="A49" s="959"/>
      <c r="B49" s="903"/>
      <c r="C49" s="963"/>
      <c r="D49" s="963"/>
      <c r="E49" s="963"/>
      <c r="F49" s="6">
        <v>13.3</v>
      </c>
      <c r="G49" s="38" t="s">
        <v>161</v>
      </c>
      <c r="H49" s="39" t="s">
        <v>162</v>
      </c>
      <c r="I49" s="39" t="s">
        <v>151</v>
      </c>
      <c r="J49" s="26">
        <f>ROUND((F49*D43/3600)*(1-I49),4)</f>
        <v>3.0000000000000001E-3</v>
      </c>
      <c r="K49" s="26">
        <f>ROUND((F49*E43/1000000)*(1-I49),4)</f>
        <v>3.3E-3</v>
      </c>
      <c r="L49" s="623">
        <f>SUM(J43:J49)</f>
        <v>7.0999999999999995E-3</v>
      </c>
      <c r="M49" s="623">
        <f>SUM(K43:K49)</f>
        <v>7.7999999999999996E-3</v>
      </c>
    </row>
    <row r="50" spans="1:14" ht="17.100000000000001" customHeight="1" x14ac:dyDescent="0.25">
      <c r="A50" s="945" t="s">
        <v>127</v>
      </c>
      <c r="B50" s="946"/>
      <c r="C50" s="946"/>
      <c r="D50" s="946"/>
      <c r="E50" s="946"/>
      <c r="F50" s="946"/>
      <c r="G50" s="946"/>
      <c r="H50" s="946"/>
      <c r="I50" s="946"/>
      <c r="J50" s="946"/>
      <c r="K50" s="947"/>
    </row>
    <row r="51" spans="1:14" ht="17.100000000000001" customHeight="1" x14ac:dyDescent="0.25">
      <c r="A51" s="957">
        <v>801301</v>
      </c>
      <c r="B51" s="902" t="s">
        <v>147</v>
      </c>
      <c r="C51" s="961" t="s">
        <v>148</v>
      </c>
      <c r="D51" s="961">
        <v>0.8</v>
      </c>
      <c r="E51" s="961">
        <v>247.2</v>
      </c>
      <c r="F51" s="6">
        <v>0.75</v>
      </c>
      <c r="G51" s="38" t="s">
        <v>149</v>
      </c>
      <c r="H51" s="39" t="s">
        <v>150</v>
      </c>
      <c r="I51" s="39" t="s">
        <v>151</v>
      </c>
      <c r="J51" s="26">
        <f>ROUND(F51*D51/3600,4)</f>
        <v>2.0000000000000001E-4</v>
      </c>
      <c r="K51" s="26">
        <f>ROUND(F51*E51/1000000,4)</f>
        <v>2.0000000000000001E-4</v>
      </c>
    </row>
    <row r="52" spans="1:14" ht="17.100000000000001" customHeight="1" x14ac:dyDescent="0.25">
      <c r="A52" s="958"/>
      <c r="B52" s="960"/>
      <c r="C52" s="962"/>
      <c r="D52" s="962"/>
      <c r="E52" s="962"/>
      <c r="F52" s="6">
        <v>1.5</v>
      </c>
      <c r="G52" s="41" t="s">
        <v>152</v>
      </c>
      <c r="H52" s="40" t="s">
        <v>153</v>
      </c>
      <c r="I52" s="39" t="s">
        <v>151</v>
      </c>
      <c r="J52" s="26">
        <f>ROUND((F52*D51/3600)*(1-I52),4)</f>
        <v>2.9999999999999997E-4</v>
      </c>
      <c r="K52" s="26">
        <f>ROUND((F52*E51/1000000)*(1-I52),4)</f>
        <v>4.0000000000000002E-4</v>
      </c>
    </row>
    <row r="53" spans="1:14" ht="17.100000000000001" customHeight="1" x14ac:dyDescent="0.25">
      <c r="A53" s="958"/>
      <c r="B53" s="960"/>
      <c r="C53" s="962"/>
      <c r="D53" s="962"/>
      <c r="E53" s="962"/>
      <c r="F53" s="6">
        <v>0.92</v>
      </c>
      <c r="G53" s="38" t="s">
        <v>154</v>
      </c>
      <c r="H53" s="39" t="s">
        <v>155</v>
      </c>
      <c r="I53" s="39" t="s">
        <v>151</v>
      </c>
      <c r="J53" s="26">
        <f>ROUND((F53*D51/3600)*(1-I53),4)</f>
        <v>2.0000000000000001E-4</v>
      </c>
      <c r="K53" s="26">
        <f>ROUND((F53*E51/1000000)*(1-I53),4)</f>
        <v>2.0000000000000001E-4</v>
      </c>
    </row>
    <row r="54" spans="1:14" ht="17.100000000000001" customHeight="1" x14ac:dyDescent="0.25">
      <c r="A54" s="958"/>
      <c r="B54" s="960"/>
      <c r="C54" s="962"/>
      <c r="D54" s="962"/>
      <c r="E54" s="962"/>
      <c r="F54" s="6">
        <v>3.3</v>
      </c>
      <c r="G54" s="38" t="s">
        <v>156</v>
      </c>
      <c r="H54" s="39" t="s">
        <v>157</v>
      </c>
      <c r="I54" s="39" t="s">
        <v>151</v>
      </c>
      <c r="J54" s="26">
        <f>ROUND((F54*D51/3600)*(1-I54),4)</f>
        <v>6.9999999999999999E-4</v>
      </c>
      <c r="K54" s="26">
        <f>ROUND((F54*E51/1000000)*(1-I54),4)</f>
        <v>8.0000000000000004E-4</v>
      </c>
    </row>
    <row r="55" spans="1:14" ht="17.100000000000001" customHeight="1" x14ac:dyDescent="0.25">
      <c r="A55" s="958"/>
      <c r="B55" s="960"/>
      <c r="C55" s="962"/>
      <c r="D55" s="962"/>
      <c r="E55" s="962"/>
      <c r="F55" s="6">
        <v>10.69</v>
      </c>
      <c r="G55" s="38" t="s">
        <v>158</v>
      </c>
      <c r="H55" s="39" t="s">
        <v>159</v>
      </c>
      <c r="I55" s="39" t="s">
        <v>151</v>
      </c>
      <c r="J55" s="26">
        <f>ROUND((F55*D51/3600)*(1-I55),4)</f>
        <v>2.3999999999999998E-3</v>
      </c>
      <c r="K55" s="26">
        <f>ROUND((F55*E51/1000000)*(1-I55),4)</f>
        <v>2.5999999999999999E-3</v>
      </c>
    </row>
    <row r="56" spans="1:14" ht="17.100000000000001" customHeight="1" x14ac:dyDescent="0.25">
      <c r="A56" s="958"/>
      <c r="B56" s="960"/>
      <c r="C56" s="962"/>
      <c r="D56" s="962"/>
      <c r="E56" s="962"/>
      <c r="F56" s="6">
        <v>1.4</v>
      </c>
      <c r="G56" s="42" t="s">
        <v>160</v>
      </c>
      <c r="H56" s="43">
        <v>2908</v>
      </c>
      <c r="I56" s="39" t="s">
        <v>151</v>
      </c>
      <c r="J56" s="26">
        <f>ROUND((F56*D51/3600)*(1-I56),4)</f>
        <v>2.9999999999999997E-4</v>
      </c>
      <c r="K56" s="26">
        <f>ROUND((F56*E51/1000000)*(1-I56),4)</f>
        <v>2.9999999999999997E-4</v>
      </c>
    </row>
    <row r="57" spans="1:14" ht="17.100000000000001" customHeight="1" x14ac:dyDescent="0.25">
      <c r="A57" s="959"/>
      <c r="B57" s="903"/>
      <c r="C57" s="963"/>
      <c r="D57" s="963"/>
      <c r="E57" s="963"/>
      <c r="F57" s="6">
        <v>13.3</v>
      </c>
      <c r="G57" s="38" t="s">
        <v>161</v>
      </c>
      <c r="H57" s="39" t="s">
        <v>162</v>
      </c>
      <c r="I57" s="39" t="s">
        <v>151</v>
      </c>
      <c r="J57" s="26">
        <f>ROUND((F57*D51/3600)*(1-I57),4)</f>
        <v>3.0000000000000001E-3</v>
      </c>
      <c r="K57" s="26">
        <f>ROUND((F57*E51/1000000)*(1-I57),4)</f>
        <v>3.3E-3</v>
      </c>
      <c r="L57" s="623">
        <f>SUM(J51:J57)</f>
        <v>7.0999999999999995E-3</v>
      </c>
      <c r="M57" s="623">
        <f>SUM(K51:K57)</f>
        <v>7.7999999999999996E-3</v>
      </c>
    </row>
    <row r="58" spans="1:14" ht="17.100000000000001" customHeight="1" x14ac:dyDescent="0.25">
      <c r="A58" s="945" t="s">
        <v>128</v>
      </c>
      <c r="B58" s="946"/>
      <c r="C58" s="946"/>
      <c r="D58" s="946"/>
      <c r="E58" s="946"/>
      <c r="F58" s="946"/>
      <c r="G58" s="946"/>
      <c r="H58" s="946"/>
      <c r="I58" s="946"/>
      <c r="J58" s="946"/>
      <c r="K58" s="947"/>
    </row>
    <row r="59" spans="1:14" ht="17.100000000000001" customHeight="1" x14ac:dyDescent="0.25">
      <c r="A59" s="948">
        <v>801501</v>
      </c>
      <c r="B59" s="951" t="s">
        <v>147</v>
      </c>
      <c r="C59" s="954" t="s">
        <v>148</v>
      </c>
      <c r="D59" s="954">
        <v>0.8</v>
      </c>
      <c r="E59" s="954">
        <v>113.6</v>
      </c>
      <c r="F59" s="6">
        <v>0.75</v>
      </c>
      <c r="G59" s="38" t="s">
        <v>149</v>
      </c>
      <c r="H59" s="39" t="s">
        <v>150</v>
      </c>
      <c r="I59" s="39" t="s">
        <v>151</v>
      </c>
      <c r="J59" s="26">
        <f>ROUND(F59*D59/3600,4)</f>
        <v>2.0000000000000001E-4</v>
      </c>
      <c r="K59" s="26">
        <f>ROUND(F59*E59/1000000,4)</f>
        <v>1E-4</v>
      </c>
    </row>
    <row r="60" spans="1:14" ht="17.100000000000001" customHeight="1" x14ac:dyDescent="0.25">
      <c r="A60" s="949"/>
      <c r="B60" s="952"/>
      <c r="C60" s="955"/>
      <c r="D60" s="955"/>
      <c r="E60" s="955"/>
      <c r="F60" s="6">
        <v>1.5</v>
      </c>
      <c r="G60" s="41" t="s">
        <v>152</v>
      </c>
      <c r="H60" s="40" t="s">
        <v>153</v>
      </c>
      <c r="I60" s="39" t="s">
        <v>151</v>
      </c>
      <c r="J60" s="26">
        <f>ROUND((F60*D59/3600)*(1-I60),4)</f>
        <v>2.9999999999999997E-4</v>
      </c>
      <c r="K60" s="26">
        <f>ROUND((F60*E59/1000000)*(1-I60),4)</f>
        <v>2.0000000000000001E-4</v>
      </c>
    </row>
    <row r="61" spans="1:14" ht="17.100000000000001" customHeight="1" x14ac:dyDescent="0.25">
      <c r="A61" s="949"/>
      <c r="B61" s="952"/>
      <c r="C61" s="955"/>
      <c r="D61" s="955"/>
      <c r="E61" s="955"/>
      <c r="F61" s="6">
        <v>0.92</v>
      </c>
      <c r="G61" s="38" t="s">
        <v>154</v>
      </c>
      <c r="H61" s="39" t="s">
        <v>155</v>
      </c>
      <c r="I61" s="39" t="s">
        <v>151</v>
      </c>
      <c r="J61" s="26">
        <f>ROUND((F61*D59/3600)*(1-I61),4)</f>
        <v>2.0000000000000001E-4</v>
      </c>
      <c r="K61" s="26">
        <f>ROUND((F61*E59/1000000)*(1-I61),4)</f>
        <v>1E-4</v>
      </c>
    </row>
    <row r="62" spans="1:14" ht="17.100000000000001" customHeight="1" x14ac:dyDescent="0.25">
      <c r="A62" s="949"/>
      <c r="B62" s="952"/>
      <c r="C62" s="955"/>
      <c r="D62" s="955"/>
      <c r="E62" s="955"/>
      <c r="F62" s="6">
        <v>3.3</v>
      </c>
      <c r="G62" s="38" t="s">
        <v>156</v>
      </c>
      <c r="H62" s="39" t="s">
        <v>157</v>
      </c>
      <c r="I62" s="39" t="s">
        <v>151</v>
      </c>
      <c r="J62" s="26">
        <f>ROUND((F62*D59/3600)*(1-I62),4)</f>
        <v>6.9999999999999999E-4</v>
      </c>
      <c r="K62" s="26">
        <f>ROUND((F62*E59/1000000)*(1-I62),4)</f>
        <v>4.0000000000000002E-4</v>
      </c>
    </row>
    <row r="63" spans="1:14" ht="17.100000000000001" customHeight="1" x14ac:dyDescent="0.25">
      <c r="A63" s="949"/>
      <c r="B63" s="952"/>
      <c r="C63" s="955"/>
      <c r="D63" s="955"/>
      <c r="E63" s="955"/>
      <c r="F63" s="6">
        <v>10.69</v>
      </c>
      <c r="G63" s="38" t="s">
        <v>158</v>
      </c>
      <c r="H63" s="39" t="s">
        <v>159</v>
      </c>
      <c r="I63" s="39" t="s">
        <v>151</v>
      </c>
      <c r="J63" s="26">
        <f>ROUND((F63*D59/3600)*(1-I63),4)</f>
        <v>2.3999999999999998E-3</v>
      </c>
      <c r="K63" s="26">
        <f>ROUND((F63*E59/1000000)*(1-I63),4)</f>
        <v>1.1999999999999999E-3</v>
      </c>
    </row>
    <row r="64" spans="1:14" ht="17.100000000000001" customHeight="1" x14ac:dyDescent="0.25">
      <c r="A64" s="949"/>
      <c r="B64" s="952"/>
      <c r="C64" s="955"/>
      <c r="D64" s="955"/>
      <c r="E64" s="955"/>
      <c r="F64" s="6">
        <v>1.4</v>
      </c>
      <c r="G64" s="42" t="s">
        <v>160</v>
      </c>
      <c r="H64" s="43">
        <v>2908</v>
      </c>
      <c r="I64" s="39" t="s">
        <v>151</v>
      </c>
      <c r="J64" s="26">
        <f>ROUND((F64*D59/3600)*(1-I64),4)</f>
        <v>2.9999999999999997E-4</v>
      </c>
      <c r="K64" s="26">
        <f>ROUND((F64*E59/1000000)*(1-I64),4)</f>
        <v>2.0000000000000001E-4</v>
      </c>
      <c r="N64" s="661"/>
    </row>
    <row r="65" spans="1:14" ht="17.100000000000001" customHeight="1" x14ac:dyDescent="0.25">
      <c r="A65" s="950"/>
      <c r="B65" s="953"/>
      <c r="C65" s="956"/>
      <c r="D65" s="956"/>
      <c r="E65" s="956"/>
      <c r="F65" s="6">
        <v>13.3</v>
      </c>
      <c r="G65" s="38" t="s">
        <v>161</v>
      </c>
      <c r="H65" s="39" t="s">
        <v>162</v>
      </c>
      <c r="I65" s="39" t="s">
        <v>151</v>
      </c>
      <c r="J65" s="26">
        <f>ROUND((F65*D59/3600)*(1-I65),4)</f>
        <v>3.0000000000000001E-3</v>
      </c>
      <c r="K65" s="26">
        <f>ROUND((F65*E59/1000000)*(1-I65),4)</f>
        <v>1.5E-3</v>
      </c>
      <c r="L65" s="623">
        <f>SUM(J59:J65)</f>
        <v>7.0999999999999995E-3</v>
      </c>
      <c r="M65" s="623">
        <f>SUM(K59:K65)</f>
        <v>3.7000000000000002E-3</v>
      </c>
    </row>
    <row r="66" spans="1:14" ht="17.100000000000001" customHeight="1" x14ac:dyDescent="0.25">
      <c r="A66" s="971" t="s">
        <v>98</v>
      </c>
      <c r="B66" s="971"/>
      <c r="C66" s="971"/>
      <c r="D66" s="971"/>
      <c r="E66" s="971"/>
      <c r="F66" s="971"/>
      <c r="G66" s="971"/>
      <c r="H66" s="971"/>
      <c r="I66" s="971"/>
      <c r="J66" s="971"/>
      <c r="K66" s="971"/>
      <c r="L66" s="662">
        <f>SUM(L49:L65)</f>
        <v>2.1299999999999999E-2</v>
      </c>
      <c r="M66" s="662">
        <f>M49+M57+M65</f>
        <v>1.9299999999999998E-2</v>
      </c>
      <c r="N66" s="9">
        <v>2027</v>
      </c>
    </row>
    <row r="67" spans="1:14" ht="17.100000000000001" customHeight="1" x14ac:dyDescent="0.25">
      <c r="A67" s="945" t="s">
        <v>94</v>
      </c>
      <c r="B67" s="946"/>
      <c r="C67" s="946"/>
      <c r="D67" s="946"/>
      <c r="E67" s="946"/>
      <c r="F67" s="946"/>
      <c r="G67" s="946"/>
      <c r="H67" s="946"/>
      <c r="I67" s="946"/>
      <c r="J67" s="946"/>
      <c r="K67" s="947"/>
      <c r="L67" s="358"/>
      <c r="M67" s="358"/>
    </row>
    <row r="68" spans="1:14" ht="17.100000000000001" customHeight="1" x14ac:dyDescent="0.25">
      <c r="A68" s="957">
        <v>800601</v>
      </c>
      <c r="B68" s="902" t="s">
        <v>147</v>
      </c>
      <c r="C68" s="961" t="s">
        <v>148</v>
      </c>
      <c r="D68" s="961">
        <v>20.2</v>
      </c>
      <c r="E68" s="961">
        <v>5781</v>
      </c>
      <c r="F68" s="6">
        <v>0.75</v>
      </c>
      <c r="G68" s="38" t="s">
        <v>149</v>
      </c>
      <c r="H68" s="39" t="s">
        <v>150</v>
      </c>
      <c r="I68" s="39" t="s">
        <v>151</v>
      </c>
      <c r="J68" s="26">
        <f>ROUND(F68*D68/3600,4)</f>
        <v>4.1999999999999997E-3</v>
      </c>
      <c r="K68" s="26">
        <f>ROUND(F68*E68/1000000,4)</f>
        <v>4.3E-3</v>
      </c>
      <c r="L68" s="358"/>
      <c r="M68" s="358"/>
    </row>
    <row r="69" spans="1:14" ht="17.100000000000001" customHeight="1" x14ac:dyDescent="0.25">
      <c r="A69" s="958"/>
      <c r="B69" s="960"/>
      <c r="C69" s="962"/>
      <c r="D69" s="962"/>
      <c r="E69" s="962"/>
      <c r="F69" s="6">
        <v>1.5</v>
      </c>
      <c r="G69" s="41" t="s">
        <v>152</v>
      </c>
      <c r="H69" s="40" t="s">
        <v>153</v>
      </c>
      <c r="I69" s="39" t="s">
        <v>151</v>
      </c>
      <c r="J69" s="26">
        <f>ROUND((F69*D68/3600)*(1-I69),4)</f>
        <v>8.3999999999999995E-3</v>
      </c>
      <c r="K69" s="26">
        <f>ROUND((F69*E68/1000000)*(1-I69),4)</f>
        <v>8.6999999999999994E-3</v>
      </c>
      <c r="L69" s="358"/>
      <c r="M69" s="358"/>
    </row>
    <row r="70" spans="1:14" ht="17.100000000000001" customHeight="1" x14ac:dyDescent="0.25">
      <c r="A70" s="958"/>
      <c r="B70" s="960"/>
      <c r="C70" s="962"/>
      <c r="D70" s="962"/>
      <c r="E70" s="962"/>
      <c r="F70" s="6">
        <v>0.92</v>
      </c>
      <c r="G70" s="38" t="s">
        <v>154</v>
      </c>
      <c r="H70" s="39" t="s">
        <v>155</v>
      </c>
      <c r="I70" s="39" t="s">
        <v>151</v>
      </c>
      <c r="J70" s="26">
        <f>ROUND((F70*D68/3600)*(1-I70),4)</f>
        <v>5.1999999999999998E-3</v>
      </c>
      <c r="K70" s="26">
        <f>ROUND((F70*E68/1000000)*(1-I70),4)</f>
        <v>5.3E-3</v>
      </c>
      <c r="L70" s="358"/>
      <c r="M70" s="647"/>
    </row>
    <row r="71" spans="1:14" ht="17.100000000000001" customHeight="1" x14ac:dyDescent="0.25">
      <c r="A71" s="958"/>
      <c r="B71" s="960"/>
      <c r="C71" s="962"/>
      <c r="D71" s="962"/>
      <c r="E71" s="962"/>
      <c r="F71" s="6">
        <v>3.3</v>
      </c>
      <c r="G71" s="38" t="s">
        <v>156</v>
      </c>
      <c r="H71" s="39" t="s">
        <v>157</v>
      </c>
      <c r="I71" s="39" t="s">
        <v>151</v>
      </c>
      <c r="J71" s="26">
        <f>ROUND((F71*D68/3600)*(1-I71),4)</f>
        <v>1.8499999999999999E-2</v>
      </c>
      <c r="K71" s="26">
        <f>ROUND((F71*E68/1000000)*(1-I71),4)</f>
        <v>1.9099999999999999E-2</v>
      </c>
      <c r="L71" s="358"/>
      <c r="M71" s="358"/>
    </row>
    <row r="72" spans="1:14" ht="17.100000000000001" customHeight="1" x14ac:dyDescent="0.25">
      <c r="A72" s="958"/>
      <c r="B72" s="960"/>
      <c r="C72" s="962"/>
      <c r="D72" s="962"/>
      <c r="E72" s="962"/>
      <c r="F72" s="6">
        <v>10.69</v>
      </c>
      <c r="G72" s="38" t="s">
        <v>158</v>
      </c>
      <c r="H72" s="39" t="s">
        <v>159</v>
      </c>
      <c r="I72" s="39" t="s">
        <v>151</v>
      </c>
      <c r="J72" s="26">
        <f>ROUND((F72*D68/3600)*(1-I72),4)</f>
        <v>0.06</v>
      </c>
      <c r="K72" s="26">
        <f>ROUND((F72*E68/1000000)*(1-I72),4)</f>
        <v>6.1800000000000001E-2</v>
      </c>
      <c r="L72" s="358"/>
      <c r="M72" s="358"/>
    </row>
    <row r="73" spans="1:14" ht="17.100000000000001" customHeight="1" x14ac:dyDescent="0.25">
      <c r="A73" s="958"/>
      <c r="B73" s="960"/>
      <c r="C73" s="962"/>
      <c r="D73" s="962"/>
      <c r="E73" s="962"/>
      <c r="F73" s="6">
        <v>1.4</v>
      </c>
      <c r="G73" s="42" t="s">
        <v>160</v>
      </c>
      <c r="H73" s="43">
        <v>2908</v>
      </c>
      <c r="I73" s="39" t="s">
        <v>151</v>
      </c>
      <c r="J73" s="26">
        <f>ROUND((F73*D68/3600)*(1-I73),4)</f>
        <v>7.9000000000000008E-3</v>
      </c>
      <c r="K73" s="26">
        <f>ROUND((F73*E68/1000000)*(1-I73),4)</f>
        <v>8.0999999999999996E-3</v>
      </c>
      <c r="L73" s="358"/>
      <c r="M73" s="358"/>
    </row>
    <row r="74" spans="1:14" ht="17.100000000000001" customHeight="1" x14ac:dyDescent="0.25">
      <c r="A74" s="959"/>
      <c r="B74" s="903"/>
      <c r="C74" s="963"/>
      <c r="D74" s="963"/>
      <c r="E74" s="963"/>
      <c r="F74" s="6">
        <v>13.3</v>
      </c>
      <c r="G74" s="38" t="s">
        <v>161</v>
      </c>
      <c r="H74" s="39" t="s">
        <v>162</v>
      </c>
      <c r="I74" s="39" t="s">
        <v>151</v>
      </c>
      <c r="J74" s="26">
        <f>ROUND((F74*D68/3600)*(1-I74),4)</f>
        <v>7.46E-2</v>
      </c>
      <c r="K74" s="26">
        <f>ROUND((F74*E68/1000000)*(1-I74),4)</f>
        <v>7.6899999999999996E-2</v>
      </c>
      <c r="L74" s="623">
        <f>SUM(J68:J74)</f>
        <v>0.17880000000000001</v>
      </c>
      <c r="M74" s="623">
        <f>SUM(K68:K74)</f>
        <v>0.1842</v>
      </c>
    </row>
    <row r="75" spans="1:14" ht="17.100000000000001" customHeight="1" x14ac:dyDescent="0.25">
      <c r="A75" s="932" t="s">
        <v>293</v>
      </c>
      <c r="B75" s="966"/>
      <c r="C75" s="966"/>
      <c r="D75" s="966"/>
      <c r="E75" s="966"/>
      <c r="F75" s="966"/>
      <c r="G75" s="966"/>
      <c r="H75" s="966"/>
      <c r="I75" s="966"/>
      <c r="J75" s="966"/>
      <c r="K75" s="967"/>
      <c r="L75" s="647"/>
      <c r="M75" s="647"/>
    </row>
    <row r="76" spans="1:14" ht="17.100000000000001" customHeight="1" x14ac:dyDescent="0.25">
      <c r="A76" s="968">
        <v>8007</v>
      </c>
      <c r="B76" s="894" t="s">
        <v>147</v>
      </c>
      <c r="C76" s="919" t="s">
        <v>148</v>
      </c>
      <c r="D76" s="919">
        <v>0.8</v>
      </c>
      <c r="E76" s="919">
        <v>31.4</v>
      </c>
      <c r="F76" s="34">
        <v>0.75</v>
      </c>
      <c r="G76" s="332" t="s">
        <v>149</v>
      </c>
      <c r="H76" s="333" t="s">
        <v>150</v>
      </c>
      <c r="I76" s="333" t="s">
        <v>151</v>
      </c>
      <c r="J76" s="85">
        <f>ROUND(F76*D76/3600,4)</f>
        <v>2.0000000000000001E-4</v>
      </c>
      <c r="K76" s="85">
        <f>ROUND(F76*E76/1000000,5)</f>
        <v>2.0000000000000002E-5</v>
      </c>
      <c r="L76" s="647"/>
      <c r="M76" s="647"/>
    </row>
    <row r="77" spans="1:14" ht="17.100000000000001" customHeight="1" x14ac:dyDescent="0.25">
      <c r="A77" s="969"/>
      <c r="B77" s="895"/>
      <c r="C77" s="964"/>
      <c r="D77" s="964"/>
      <c r="E77" s="964"/>
      <c r="F77" s="34">
        <v>1.5</v>
      </c>
      <c r="G77" s="335" t="s">
        <v>152</v>
      </c>
      <c r="H77" s="334" t="s">
        <v>153</v>
      </c>
      <c r="I77" s="333" t="s">
        <v>151</v>
      </c>
      <c r="J77" s="85">
        <f>ROUND((F77*D76/3600)*(1-I77),4)</f>
        <v>2.9999999999999997E-4</v>
      </c>
      <c r="K77" s="85">
        <f>ROUND((F77*E76/1000000)*(1-I77),5)</f>
        <v>5.0000000000000002E-5</v>
      </c>
      <c r="L77" s="647"/>
      <c r="M77" s="647"/>
    </row>
    <row r="78" spans="1:14" ht="17.100000000000001" customHeight="1" x14ac:dyDescent="0.25">
      <c r="A78" s="969"/>
      <c r="B78" s="895"/>
      <c r="C78" s="964"/>
      <c r="D78" s="964"/>
      <c r="E78" s="964"/>
      <c r="F78" s="34">
        <v>0.92</v>
      </c>
      <c r="G78" s="332" t="s">
        <v>154</v>
      </c>
      <c r="H78" s="333" t="s">
        <v>155</v>
      </c>
      <c r="I78" s="333" t="s">
        <v>151</v>
      </c>
      <c r="J78" s="85">
        <f>ROUND((F78*D76/3600)*(1-I78),4)</f>
        <v>2.0000000000000001E-4</v>
      </c>
      <c r="K78" s="85">
        <f>ROUND((F78*E76/1000000)*(1-I78),5)</f>
        <v>3.0000000000000001E-5</v>
      </c>
      <c r="L78" s="647"/>
      <c r="M78" s="647"/>
    </row>
    <row r="79" spans="1:14" ht="17.100000000000001" customHeight="1" x14ac:dyDescent="0.25">
      <c r="A79" s="969"/>
      <c r="B79" s="895"/>
      <c r="C79" s="964"/>
      <c r="D79" s="964"/>
      <c r="E79" s="964"/>
      <c r="F79" s="34">
        <v>3.3</v>
      </c>
      <c r="G79" s="332" t="s">
        <v>156</v>
      </c>
      <c r="H79" s="333" t="s">
        <v>157</v>
      </c>
      <c r="I79" s="333" t="s">
        <v>151</v>
      </c>
      <c r="J79" s="85">
        <f>ROUND((F79*D76/3600)*(1-I79),4)</f>
        <v>6.9999999999999999E-4</v>
      </c>
      <c r="K79" s="85">
        <f>ROUND((F79*E76/1000000)*(1-I79),4)</f>
        <v>1E-4</v>
      </c>
      <c r="L79" s="647"/>
      <c r="M79" s="647"/>
    </row>
    <row r="80" spans="1:14" ht="17.100000000000001" customHeight="1" x14ac:dyDescent="0.25">
      <c r="A80" s="969"/>
      <c r="B80" s="895"/>
      <c r="C80" s="964"/>
      <c r="D80" s="964"/>
      <c r="E80" s="964"/>
      <c r="F80" s="34">
        <v>10.69</v>
      </c>
      <c r="G80" s="332" t="s">
        <v>158</v>
      </c>
      <c r="H80" s="333" t="s">
        <v>159</v>
      </c>
      <c r="I80" s="333" t="s">
        <v>151</v>
      </c>
      <c r="J80" s="85">
        <f>ROUND((F80*D76/3600)*(1-I80),4)</f>
        <v>2.3999999999999998E-3</v>
      </c>
      <c r="K80" s="85">
        <f>ROUND((F80*E76/1000000)*(1-I80),4)</f>
        <v>2.9999999999999997E-4</v>
      </c>
      <c r="L80" s="647"/>
      <c r="M80" s="647"/>
    </row>
    <row r="81" spans="1:13" ht="17.100000000000001" customHeight="1" x14ac:dyDescent="0.25">
      <c r="A81" s="969"/>
      <c r="B81" s="895"/>
      <c r="C81" s="964"/>
      <c r="D81" s="964"/>
      <c r="E81" s="964"/>
      <c r="F81" s="34">
        <v>1.4</v>
      </c>
      <c r="G81" s="336" t="s">
        <v>160</v>
      </c>
      <c r="H81" s="337">
        <v>2908</v>
      </c>
      <c r="I81" s="333" t="s">
        <v>151</v>
      </c>
      <c r="J81" s="85">
        <f>ROUND((F81*D76/3600)*(1-I81),4)</f>
        <v>2.9999999999999997E-4</v>
      </c>
      <c r="K81" s="85">
        <f>ROUND((F81*E76/1000000)*(1-I81),5)</f>
        <v>4.0000000000000003E-5</v>
      </c>
      <c r="L81" s="647"/>
      <c r="M81" s="647"/>
    </row>
    <row r="82" spans="1:13" ht="17.100000000000001" customHeight="1" x14ac:dyDescent="0.25">
      <c r="A82" s="970"/>
      <c r="B82" s="928"/>
      <c r="C82" s="965"/>
      <c r="D82" s="965"/>
      <c r="E82" s="965"/>
      <c r="F82" s="34">
        <v>13.3</v>
      </c>
      <c r="G82" s="332" t="s">
        <v>161</v>
      </c>
      <c r="H82" s="333" t="s">
        <v>162</v>
      </c>
      <c r="I82" s="333" t="s">
        <v>151</v>
      </c>
      <c r="J82" s="85">
        <f>ROUND((F82*D76/3600)*(1-I82),4)</f>
        <v>3.0000000000000001E-3</v>
      </c>
      <c r="K82" s="85">
        <f>ROUND((F82*E76/1000000)*(1-I82),4)</f>
        <v>4.0000000000000002E-4</v>
      </c>
      <c r="L82" s="623">
        <f>SUM(J76:J82)</f>
        <v>7.0999999999999995E-3</v>
      </c>
      <c r="M82" s="623">
        <f>SUM(K76:K82)</f>
        <v>9.4000000000000008E-4</v>
      </c>
    </row>
    <row r="83" spans="1:13" ht="17.100000000000001" customHeight="1" x14ac:dyDescent="0.25">
      <c r="A83" s="932" t="s">
        <v>291</v>
      </c>
      <c r="B83" s="966"/>
      <c r="C83" s="966"/>
      <c r="D83" s="966"/>
      <c r="E83" s="966"/>
      <c r="F83" s="966"/>
      <c r="G83" s="966"/>
      <c r="H83" s="966"/>
      <c r="I83" s="966"/>
      <c r="J83" s="966"/>
      <c r="K83" s="967"/>
      <c r="L83" s="647"/>
      <c r="M83" s="647"/>
    </row>
    <row r="84" spans="1:13" ht="17.100000000000001" customHeight="1" x14ac:dyDescent="0.25">
      <c r="A84" s="972">
        <v>8008</v>
      </c>
      <c r="B84" s="937" t="s">
        <v>147</v>
      </c>
      <c r="C84" s="975" t="s">
        <v>148</v>
      </c>
      <c r="D84" s="975">
        <v>0.8</v>
      </c>
      <c r="E84" s="975">
        <v>16.5</v>
      </c>
      <c r="F84" s="34">
        <v>0.75</v>
      </c>
      <c r="G84" s="332" t="s">
        <v>149</v>
      </c>
      <c r="H84" s="333" t="s">
        <v>150</v>
      </c>
      <c r="I84" s="333" t="s">
        <v>151</v>
      </c>
      <c r="J84" s="85">
        <f>ROUND(F84*D84/3600,4)</f>
        <v>2.0000000000000001E-4</v>
      </c>
      <c r="K84" s="85">
        <f>ROUND(F84*E84/1000000,5)</f>
        <v>1.0000000000000001E-5</v>
      </c>
      <c r="L84" s="647"/>
      <c r="M84" s="647"/>
    </row>
    <row r="85" spans="1:13" ht="17.100000000000001" customHeight="1" x14ac:dyDescent="0.25">
      <c r="A85" s="973"/>
      <c r="B85" s="943"/>
      <c r="C85" s="976"/>
      <c r="D85" s="976"/>
      <c r="E85" s="976"/>
      <c r="F85" s="34">
        <v>1.5</v>
      </c>
      <c r="G85" s="335" t="s">
        <v>152</v>
      </c>
      <c r="H85" s="334" t="s">
        <v>153</v>
      </c>
      <c r="I85" s="333" t="s">
        <v>151</v>
      </c>
      <c r="J85" s="85">
        <f>ROUND((F85*D84/3600)*(1-I85),4)</f>
        <v>2.9999999999999997E-4</v>
      </c>
      <c r="K85" s="85">
        <f>ROUND((F85*E84/1000000)*(1-I85),5)</f>
        <v>2.0000000000000002E-5</v>
      </c>
      <c r="L85" s="647"/>
      <c r="M85" s="647"/>
    </row>
    <row r="86" spans="1:13" ht="17.100000000000001" customHeight="1" x14ac:dyDescent="0.25">
      <c r="A86" s="973"/>
      <c r="B86" s="943"/>
      <c r="C86" s="976"/>
      <c r="D86" s="976"/>
      <c r="E86" s="976"/>
      <c r="F86" s="34">
        <v>0.92</v>
      </c>
      <c r="G86" s="332" t="s">
        <v>154</v>
      </c>
      <c r="H86" s="333" t="s">
        <v>155</v>
      </c>
      <c r="I86" s="333" t="s">
        <v>151</v>
      </c>
      <c r="J86" s="85">
        <f>ROUND((F86*D84/3600)*(1-I86),4)</f>
        <v>2.0000000000000001E-4</v>
      </c>
      <c r="K86" s="85">
        <f>ROUND((F86*E84/1000000)*(1-I86),5)</f>
        <v>2.0000000000000002E-5</v>
      </c>
      <c r="L86" s="647"/>
      <c r="M86" s="647"/>
    </row>
    <row r="87" spans="1:13" ht="17.100000000000001" customHeight="1" x14ac:dyDescent="0.25">
      <c r="A87" s="973"/>
      <c r="B87" s="943"/>
      <c r="C87" s="976"/>
      <c r="D87" s="976"/>
      <c r="E87" s="976"/>
      <c r="F87" s="34">
        <v>3.3</v>
      </c>
      <c r="G87" s="332" t="s">
        <v>156</v>
      </c>
      <c r="H87" s="333" t="s">
        <v>157</v>
      </c>
      <c r="I87" s="333" t="s">
        <v>151</v>
      </c>
      <c r="J87" s="85">
        <f>ROUND((F87*D84/3600)*(1-I87),4)</f>
        <v>6.9999999999999999E-4</v>
      </c>
      <c r="K87" s="85">
        <f>ROUND((F87*E84/1000000)*(1-I87),4)</f>
        <v>1E-4</v>
      </c>
      <c r="L87" s="647"/>
      <c r="M87" s="647"/>
    </row>
    <row r="88" spans="1:13" ht="17.100000000000001" customHeight="1" x14ac:dyDescent="0.25">
      <c r="A88" s="973"/>
      <c r="B88" s="943"/>
      <c r="C88" s="976"/>
      <c r="D88" s="976"/>
      <c r="E88" s="976"/>
      <c r="F88" s="34">
        <v>10.69</v>
      </c>
      <c r="G88" s="332" t="s">
        <v>158</v>
      </c>
      <c r="H88" s="333" t="s">
        <v>159</v>
      </c>
      <c r="I88" s="333" t="s">
        <v>151</v>
      </c>
      <c r="J88" s="85">
        <f>ROUND((F88*D84/3600)*(1-I88),4)</f>
        <v>2.3999999999999998E-3</v>
      </c>
      <c r="K88" s="85">
        <f>ROUND((F88*E84/1000000)*(1-I88),4)</f>
        <v>2.0000000000000001E-4</v>
      </c>
      <c r="L88" s="647"/>
      <c r="M88" s="647"/>
    </row>
    <row r="89" spans="1:13" ht="17.100000000000001" customHeight="1" x14ac:dyDescent="0.25">
      <c r="A89" s="973"/>
      <c r="B89" s="943"/>
      <c r="C89" s="976"/>
      <c r="D89" s="976"/>
      <c r="E89" s="976"/>
      <c r="F89" s="34">
        <v>1.4</v>
      </c>
      <c r="G89" s="336" t="s">
        <v>160</v>
      </c>
      <c r="H89" s="337">
        <v>2908</v>
      </c>
      <c r="I89" s="333" t="s">
        <v>151</v>
      </c>
      <c r="J89" s="85">
        <f>ROUND((F89*D84/3600)*(1-I89),4)</f>
        <v>2.9999999999999997E-4</v>
      </c>
      <c r="K89" s="85">
        <f>ROUND((F89*E84/1000000)*(1-I89),5)</f>
        <v>2.0000000000000002E-5</v>
      </c>
      <c r="L89" s="647"/>
      <c r="M89" s="647"/>
    </row>
    <row r="90" spans="1:13" ht="17.100000000000001" customHeight="1" x14ac:dyDescent="0.25">
      <c r="A90" s="974"/>
      <c r="B90" s="938"/>
      <c r="C90" s="977"/>
      <c r="D90" s="977"/>
      <c r="E90" s="977"/>
      <c r="F90" s="34">
        <v>13.3</v>
      </c>
      <c r="G90" s="332" t="s">
        <v>161</v>
      </c>
      <c r="H90" s="333" t="s">
        <v>162</v>
      </c>
      <c r="I90" s="333" t="s">
        <v>151</v>
      </c>
      <c r="J90" s="85">
        <f>ROUND((F90*D84/3600)*(1-I90),4)</f>
        <v>3.0000000000000001E-3</v>
      </c>
      <c r="K90" s="85">
        <f>ROUND((F90*E84/1000000)*(1-I90),4)</f>
        <v>2.0000000000000001E-4</v>
      </c>
      <c r="L90" s="623">
        <f>SUM(J84:J90)</f>
        <v>7.0999999999999995E-3</v>
      </c>
      <c r="M90" s="623">
        <f>SUM(K84:K90)</f>
        <v>5.7000000000000009E-4</v>
      </c>
    </row>
    <row r="91" spans="1:13" ht="17.100000000000001" customHeight="1" x14ac:dyDescent="0.25">
      <c r="A91" s="932" t="s">
        <v>292</v>
      </c>
      <c r="B91" s="966"/>
      <c r="C91" s="966"/>
      <c r="D91" s="966"/>
      <c r="E91" s="966"/>
      <c r="F91" s="966"/>
      <c r="G91" s="966"/>
      <c r="H91" s="966"/>
      <c r="I91" s="966"/>
      <c r="J91" s="966"/>
      <c r="K91" s="967"/>
      <c r="L91" s="647"/>
      <c r="M91" s="647"/>
    </row>
    <row r="92" spans="1:13" ht="17.100000000000001" customHeight="1" x14ac:dyDescent="0.25">
      <c r="A92" s="968">
        <v>8009</v>
      </c>
      <c r="B92" s="894" t="s">
        <v>147</v>
      </c>
      <c r="C92" s="919" t="s">
        <v>148</v>
      </c>
      <c r="D92" s="919">
        <v>0.8</v>
      </c>
      <c r="E92" s="919">
        <v>16.5</v>
      </c>
      <c r="F92" s="34">
        <v>0.75</v>
      </c>
      <c r="G92" s="332" t="s">
        <v>149</v>
      </c>
      <c r="H92" s="333" t="s">
        <v>150</v>
      </c>
      <c r="I92" s="333" t="s">
        <v>151</v>
      </c>
      <c r="J92" s="85">
        <f>ROUND(F92*D92/3600,4)</f>
        <v>2.0000000000000001E-4</v>
      </c>
      <c r="K92" s="85">
        <f>ROUND(F92*E92/1000000,5)</f>
        <v>1.0000000000000001E-5</v>
      </c>
      <c r="L92" s="647"/>
      <c r="M92" s="647"/>
    </row>
    <row r="93" spans="1:13" ht="17.100000000000001" customHeight="1" x14ac:dyDescent="0.25">
      <c r="A93" s="969"/>
      <c r="B93" s="895"/>
      <c r="C93" s="964"/>
      <c r="D93" s="964"/>
      <c r="E93" s="964"/>
      <c r="F93" s="34">
        <v>1.5</v>
      </c>
      <c r="G93" s="335" t="s">
        <v>152</v>
      </c>
      <c r="H93" s="334" t="s">
        <v>153</v>
      </c>
      <c r="I93" s="333" t="s">
        <v>151</v>
      </c>
      <c r="J93" s="85">
        <f>ROUND((F93*D92/3600)*(1-I93),4)</f>
        <v>2.9999999999999997E-4</v>
      </c>
      <c r="K93" s="85">
        <f>ROUND((F93*E92/1000000)*(1-I93),5)</f>
        <v>2.0000000000000002E-5</v>
      </c>
      <c r="L93" s="647"/>
      <c r="M93" s="647"/>
    </row>
    <row r="94" spans="1:13" ht="17.100000000000001" customHeight="1" x14ac:dyDescent="0.25">
      <c r="A94" s="969"/>
      <c r="B94" s="895"/>
      <c r="C94" s="964"/>
      <c r="D94" s="964"/>
      <c r="E94" s="964"/>
      <c r="F94" s="34">
        <v>0.92</v>
      </c>
      <c r="G94" s="332" t="s">
        <v>154</v>
      </c>
      <c r="H94" s="333" t="s">
        <v>155</v>
      </c>
      <c r="I94" s="333" t="s">
        <v>151</v>
      </c>
      <c r="J94" s="85">
        <f>ROUND((F94*D92/3600)*(1-I94),4)</f>
        <v>2.0000000000000001E-4</v>
      </c>
      <c r="K94" s="85">
        <f>ROUND((F94*E92/1000000)*(1-I94),5)</f>
        <v>2.0000000000000002E-5</v>
      </c>
      <c r="L94" s="647"/>
      <c r="M94" s="647"/>
    </row>
    <row r="95" spans="1:13" ht="17.100000000000001" customHeight="1" x14ac:dyDescent="0.25">
      <c r="A95" s="969"/>
      <c r="B95" s="895"/>
      <c r="C95" s="964"/>
      <c r="D95" s="964"/>
      <c r="E95" s="964"/>
      <c r="F95" s="34">
        <v>3.3</v>
      </c>
      <c r="G95" s="332" t="s">
        <v>156</v>
      </c>
      <c r="H95" s="333" t="s">
        <v>157</v>
      </c>
      <c r="I95" s="333" t="s">
        <v>151</v>
      </c>
      <c r="J95" s="85">
        <f>ROUND((F95*D92/3600)*(1-I95),4)</f>
        <v>6.9999999999999999E-4</v>
      </c>
      <c r="K95" s="85">
        <f>ROUND((F95*E92/1000000)*(1-I95),4)</f>
        <v>1E-4</v>
      </c>
      <c r="L95" s="647"/>
      <c r="M95" s="647"/>
    </row>
    <row r="96" spans="1:13" ht="17.100000000000001" customHeight="1" x14ac:dyDescent="0.25">
      <c r="A96" s="969"/>
      <c r="B96" s="895"/>
      <c r="C96" s="964"/>
      <c r="D96" s="964"/>
      <c r="E96" s="964"/>
      <c r="F96" s="34">
        <v>10.69</v>
      </c>
      <c r="G96" s="332" t="s">
        <v>158</v>
      </c>
      <c r="H96" s="333" t="s">
        <v>159</v>
      </c>
      <c r="I96" s="333" t="s">
        <v>151</v>
      </c>
      <c r="J96" s="85">
        <f>ROUND((F96*D92/3600)*(1-I96),4)</f>
        <v>2.3999999999999998E-3</v>
      </c>
      <c r="K96" s="85">
        <f>ROUND((F96*E92/1000000)*(1-I96),4)</f>
        <v>2.0000000000000001E-4</v>
      </c>
      <c r="L96" s="647"/>
      <c r="M96" s="647"/>
    </row>
    <row r="97" spans="1:14" ht="17.100000000000001" customHeight="1" x14ac:dyDescent="0.25">
      <c r="A97" s="969"/>
      <c r="B97" s="895"/>
      <c r="C97" s="964"/>
      <c r="D97" s="964"/>
      <c r="E97" s="964"/>
      <c r="F97" s="34">
        <v>1.4</v>
      </c>
      <c r="G97" s="336" t="s">
        <v>160</v>
      </c>
      <c r="H97" s="337">
        <v>2908</v>
      </c>
      <c r="I97" s="333" t="s">
        <v>151</v>
      </c>
      <c r="J97" s="85">
        <f>ROUND((F97*D92/3600)*(1-I97),4)</f>
        <v>2.9999999999999997E-4</v>
      </c>
      <c r="K97" s="85">
        <f>ROUND((F97*E92/1000000)*(1-I97),5)</f>
        <v>2.0000000000000002E-5</v>
      </c>
      <c r="L97" s="647"/>
      <c r="M97" s="647"/>
    </row>
    <row r="98" spans="1:14" ht="17.100000000000001" customHeight="1" x14ac:dyDescent="0.25">
      <c r="A98" s="970"/>
      <c r="B98" s="928"/>
      <c r="C98" s="965"/>
      <c r="D98" s="965"/>
      <c r="E98" s="965"/>
      <c r="F98" s="34">
        <v>13.3</v>
      </c>
      <c r="G98" s="332" t="s">
        <v>161</v>
      </c>
      <c r="H98" s="333" t="s">
        <v>162</v>
      </c>
      <c r="I98" s="333" t="s">
        <v>151</v>
      </c>
      <c r="J98" s="85">
        <f>ROUND((F98*D92/3600)*(1-I98),4)</f>
        <v>3.0000000000000001E-3</v>
      </c>
      <c r="K98" s="85">
        <f>ROUND((F98*E92/1000000)*(1-I98),4)</f>
        <v>2.0000000000000001E-4</v>
      </c>
      <c r="L98" s="623">
        <f>SUM(J92:J98)</f>
        <v>7.0999999999999995E-3</v>
      </c>
      <c r="M98" s="623">
        <f>SUM(K92:K98)</f>
        <v>5.7000000000000009E-4</v>
      </c>
    </row>
    <row r="99" spans="1:14" ht="15" customHeight="1" x14ac:dyDescent="0.25">
      <c r="A99" s="544"/>
      <c r="B99" s="79"/>
      <c r="C99" s="80"/>
      <c r="D99" s="80"/>
      <c r="E99" s="80"/>
      <c r="F99" s="81"/>
      <c r="G99" s="82"/>
      <c r="H99" s="78"/>
      <c r="I99" s="78"/>
      <c r="J99" s="80"/>
      <c r="K99" s="80"/>
      <c r="L99" s="662">
        <f>L98+L90+L82+L74</f>
        <v>0.2001</v>
      </c>
      <c r="M99" s="662">
        <f>M98+M90+M82+M74</f>
        <v>0.18628</v>
      </c>
      <c r="N99" s="358">
        <v>2028</v>
      </c>
    </row>
    <row r="100" spans="1:14" x14ac:dyDescent="0.25">
      <c r="A100" s="544"/>
      <c r="B100" s="79"/>
      <c r="C100" s="80"/>
      <c r="D100" s="80"/>
      <c r="E100" s="80"/>
      <c r="F100" s="81"/>
      <c r="G100" s="82"/>
      <c r="H100" s="78"/>
      <c r="I100" s="78"/>
      <c r="J100" s="80"/>
      <c r="K100" s="80"/>
      <c r="L100" s="358"/>
      <c r="M100" s="358"/>
    </row>
    <row r="101" spans="1:14" x14ac:dyDescent="0.25">
      <c r="A101" s="544"/>
      <c r="B101" s="79"/>
      <c r="C101" s="80"/>
      <c r="D101" s="80"/>
      <c r="E101" s="80"/>
      <c r="F101" s="81"/>
      <c r="G101" s="82"/>
      <c r="H101" s="78"/>
      <c r="I101" s="78"/>
      <c r="J101" s="80"/>
      <c r="K101" s="80"/>
      <c r="L101" s="358"/>
      <c r="M101" s="358"/>
    </row>
    <row r="102" spans="1:14" x14ac:dyDescent="0.25">
      <c r="A102" s="544"/>
      <c r="B102" s="79"/>
      <c r="C102" s="80"/>
      <c r="D102" s="80"/>
      <c r="E102" s="80"/>
      <c r="F102" s="81"/>
      <c r="G102" s="82"/>
      <c r="H102" s="78"/>
      <c r="I102" s="78"/>
      <c r="J102" s="80"/>
      <c r="K102" s="80"/>
      <c r="L102" s="358"/>
      <c r="M102" s="358"/>
    </row>
    <row r="103" spans="1:14" x14ac:dyDescent="0.25">
      <c r="A103" s="544"/>
      <c r="B103" s="79"/>
      <c r="C103" s="80"/>
      <c r="D103" s="80"/>
      <c r="E103" s="80"/>
      <c r="F103" s="81"/>
      <c r="G103" s="82"/>
      <c r="H103" s="78"/>
      <c r="I103" s="78"/>
      <c r="J103" s="80"/>
      <c r="K103" s="80"/>
      <c r="L103" s="358"/>
      <c r="M103" s="358"/>
    </row>
    <row r="104" spans="1:14" x14ac:dyDescent="0.25">
      <c r="A104" s="544"/>
      <c r="B104" s="79"/>
      <c r="C104" s="80"/>
      <c r="D104" s="80"/>
      <c r="E104" s="80"/>
      <c r="F104" s="81"/>
      <c r="G104" s="82"/>
      <c r="H104" s="78"/>
      <c r="I104" s="78"/>
      <c r="J104" s="80"/>
      <c r="K104" s="80"/>
      <c r="L104" s="358"/>
      <c r="M104" s="358"/>
    </row>
    <row r="105" spans="1:14" x14ac:dyDescent="0.25">
      <c r="A105" s="544"/>
      <c r="B105" s="79"/>
      <c r="C105" s="80"/>
      <c r="D105" s="80"/>
      <c r="E105" s="80"/>
      <c r="F105" s="81"/>
      <c r="G105" s="82"/>
      <c r="H105" s="78"/>
      <c r="I105" s="78"/>
      <c r="J105" s="80"/>
      <c r="K105" s="80"/>
      <c r="L105" s="358"/>
      <c r="M105" s="358"/>
    </row>
    <row r="108" spans="1:14" x14ac:dyDescent="0.25">
      <c r="E108" s="75"/>
    </row>
  </sheetData>
  <mergeCells count="74">
    <mergeCell ref="A19:U19"/>
    <mergeCell ref="A15:K15"/>
    <mergeCell ref="A16:K16"/>
    <mergeCell ref="A17:K17"/>
    <mergeCell ref="A6:K6"/>
    <mergeCell ref="A7:K7"/>
    <mergeCell ref="A8:K8"/>
    <mergeCell ref="A1:K1"/>
    <mergeCell ref="A9:K9"/>
    <mergeCell ref="A11:K11"/>
    <mergeCell ref="A14:K14"/>
    <mergeCell ref="A3:N3"/>
    <mergeCell ref="A4:K4"/>
    <mergeCell ref="H28:H29"/>
    <mergeCell ref="I28:I29"/>
    <mergeCell ref="J28:K28"/>
    <mergeCell ref="A32:K32"/>
    <mergeCell ref="A34:A40"/>
    <mergeCell ref="B34:B40"/>
    <mergeCell ref="C34:C40"/>
    <mergeCell ref="D34:D40"/>
    <mergeCell ref="E34:E40"/>
    <mergeCell ref="A28:A29"/>
    <mergeCell ref="B28:B29"/>
    <mergeCell ref="C28:C29"/>
    <mergeCell ref="D28:E28"/>
    <mergeCell ref="F28:F29"/>
    <mergeCell ref="G28:G29"/>
    <mergeCell ref="A33:K33"/>
    <mergeCell ref="A41:K41"/>
    <mergeCell ref="A83:K83"/>
    <mergeCell ref="A84:A90"/>
    <mergeCell ref="B84:B90"/>
    <mergeCell ref="C84:C90"/>
    <mergeCell ref="D84:D90"/>
    <mergeCell ref="E84:E90"/>
    <mergeCell ref="A66:K66"/>
    <mergeCell ref="A75:K75"/>
    <mergeCell ref="A76:A82"/>
    <mergeCell ref="B76:B82"/>
    <mergeCell ref="C43:C49"/>
    <mergeCell ref="D43:D49"/>
    <mergeCell ref="E43:E49"/>
    <mergeCell ref="A67:K67"/>
    <mergeCell ref="D92:D98"/>
    <mergeCell ref="E92:E98"/>
    <mergeCell ref="A68:A74"/>
    <mergeCell ref="B68:B74"/>
    <mergeCell ref="C68:C74"/>
    <mergeCell ref="D68:D74"/>
    <mergeCell ref="E68:E74"/>
    <mergeCell ref="A91:K91"/>
    <mergeCell ref="A92:A98"/>
    <mergeCell ref="B92:B98"/>
    <mergeCell ref="C92:C98"/>
    <mergeCell ref="C76:C82"/>
    <mergeCell ref="D76:D82"/>
    <mergeCell ref="E76:E82"/>
    <mergeCell ref="A31:K31"/>
    <mergeCell ref="A58:K58"/>
    <mergeCell ref="A59:A65"/>
    <mergeCell ref="B59:B65"/>
    <mergeCell ref="C59:C65"/>
    <mergeCell ref="D59:D65"/>
    <mergeCell ref="E59:E65"/>
    <mergeCell ref="A50:K50"/>
    <mergeCell ref="A51:A57"/>
    <mergeCell ref="B51:B57"/>
    <mergeCell ref="C51:C57"/>
    <mergeCell ref="D51:D57"/>
    <mergeCell ref="E51:E57"/>
    <mergeCell ref="A42:K42"/>
    <mergeCell ref="A43:A49"/>
    <mergeCell ref="B43:B49"/>
  </mergeCells>
  <pageMargins left="0.31496062992125984" right="0.31496062992125984" top="0.78740157480314965" bottom="0.39370078740157483" header="0.31496062992125984" footer="0.19685039370078741"/>
  <pageSetup paperSize="9" firstPageNumber="181" orientation="landscape" useFirstPageNumber="1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7"/>
  <sheetViews>
    <sheetView view="pageBreakPreview" topLeftCell="A76" zoomScaleNormal="100" zoomScaleSheetLayoutView="100" workbookViewId="0">
      <selection activeCell="K49" sqref="K49"/>
    </sheetView>
  </sheetViews>
  <sheetFormatPr defaultRowHeight="15" x14ac:dyDescent="0.25"/>
  <cols>
    <col min="1" max="1" width="9.140625" style="485"/>
    <col min="2" max="2" width="20.5703125" style="485" customWidth="1"/>
    <col min="3" max="3" width="8.5703125" style="485" customWidth="1"/>
    <col min="4" max="4" width="19.140625" style="485" customWidth="1"/>
    <col min="5" max="5" width="15.7109375" style="485" customWidth="1"/>
    <col min="6" max="6" width="24.7109375" style="485" customWidth="1"/>
    <col min="7" max="7" width="7.7109375" style="485" customWidth="1"/>
    <col min="8" max="8" width="13.28515625" style="485" customWidth="1"/>
    <col min="9" max="9" width="13.42578125" style="485" customWidth="1"/>
    <col min="10" max="10" width="10.7109375" style="663" bestFit="1" customWidth="1"/>
    <col min="11" max="11" width="15.42578125" style="663" customWidth="1"/>
    <col min="12" max="12" width="13.85546875" style="485" customWidth="1"/>
    <col min="13" max="16384" width="9.140625" style="485"/>
  </cols>
  <sheetData>
    <row r="1" spans="1:14" ht="18.75" customHeight="1" x14ac:dyDescent="0.3">
      <c r="A1" s="1010" t="s">
        <v>419</v>
      </c>
      <c r="B1" s="1010"/>
      <c r="C1" s="1010"/>
      <c r="D1" s="1010"/>
      <c r="E1" s="1010"/>
      <c r="F1" s="1010"/>
      <c r="G1" s="1010"/>
      <c r="H1" s="1010"/>
      <c r="I1" s="1010"/>
      <c r="J1" s="669"/>
    </row>
    <row r="2" spans="1:14" ht="13.5" customHeight="1" x14ac:dyDescent="0.3">
      <c r="A2" s="484"/>
      <c r="B2" s="484"/>
      <c r="C2" s="484"/>
      <c r="D2" s="484"/>
      <c r="E2" s="484"/>
      <c r="F2" s="484"/>
      <c r="G2" s="484"/>
      <c r="H2" s="484"/>
      <c r="I2" s="484"/>
      <c r="J2" s="664"/>
    </row>
    <row r="3" spans="1:14" s="126" customFormat="1" ht="14.25" customHeight="1" x14ac:dyDescent="0.25">
      <c r="A3" s="983" t="s">
        <v>318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</row>
    <row r="4" spans="1:14" s="126" customFormat="1" ht="18.75" customHeight="1" x14ac:dyDescent="0.25">
      <c r="A4" s="984" t="s">
        <v>420</v>
      </c>
      <c r="B4" s="984"/>
      <c r="C4" s="984"/>
      <c r="D4" s="984"/>
      <c r="E4" s="984"/>
      <c r="F4" s="984"/>
      <c r="G4" s="984"/>
      <c r="H4" s="984"/>
      <c r="I4" s="984"/>
      <c r="K4" s="656"/>
    </row>
    <row r="5" spans="1:14" s="486" customFormat="1" ht="7.5" customHeight="1" x14ac:dyDescent="0.3">
      <c r="J5" s="665"/>
      <c r="K5" s="665"/>
    </row>
    <row r="6" spans="1:14" s="486" customFormat="1" ht="18.75" x14ac:dyDescent="0.3">
      <c r="A6" s="926" t="s">
        <v>421</v>
      </c>
      <c r="B6" s="926"/>
      <c r="C6" s="926"/>
      <c r="D6" s="926"/>
      <c r="E6" s="926"/>
      <c r="F6" s="926"/>
      <c r="G6" s="926"/>
      <c r="H6" s="926"/>
      <c r="I6" s="926"/>
      <c r="J6" s="926"/>
      <c r="K6" s="665"/>
    </row>
    <row r="7" spans="1:14" s="486" customFormat="1" ht="7.5" customHeight="1" x14ac:dyDescent="0.3">
      <c r="J7" s="665"/>
      <c r="K7" s="665"/>
    </row>
    <row r="8" spans="1:14" s="486" customFormat="1" ht="18.75" x14ac:dyDescent="0.3">
      <c r="A8" s="1010" t="s">
        <v>425</v>
      </c>
      <c r="B8" s="1010"/>
      <c r="C8" s="1010"/>
      <c r="D8" s="1010"/>
      <c r="E8" s="1010"/>
      <c r="F8" s="1010"/>
      <c r="G8" s="1010"/>
      <c r="H8" s="1010"/>
      <c r="I8" s="1010"/>
      <c r="J8" s="1010"/>
      <c r="K8" s="665"/>
    </row>
    <row r="9" spans="1:14" s="486" customFormat="1" ht="8.25" customHeight="1" x14ac:dyDescent="0.3">
      <c r="J9" s="665"/>
      <c r="K9" s="665"/>
    </row>
    <row r="10" spans="1:14" s="486" customFormat="1" ht="18.75" customHeight="1" x14ac:dyDescent="0.3">
      <c r="A10" s="926" t="s">
        <v>423</v>
      </c>
      <c r="B10" s="926"/>
      <c r="C10" s="926"/>
      <c r="D10" s="926"/>
      <c r="E10" s="926"/>
      <c r="F10" s="926"/>
      <c r="G10" s="926"/>
      <c r="H10" s="926"/>
      <c r="I10" s="926"/>
      <c r="K10" s="665"/>
    </row>
    <row r="11" spans="1:14" s="486" customFormat="1" ht="11.25" customHeight="1" x14ac:dyDescent="0.3">
      <c r="J11" s="665"/>
      <c r="K11" s="665"/>
    </row>
    <row r="12" spans="1:14" s="486" customFormat="1" ht="18.75" customHeight="1" x14ac:dyDescent="0.3">
      <c r="A12" s="1010" t="s">
        <v>426</v>
      </c>
      <c r="B12" s="1010"/>
      <c r="C12" s="1010"/>
      <c r="D12" s="1010"/>
      <c r="E12" s="1010"/>
      <c r="F12" s="1010"/>
      <c r="G12" s="1010"/>
      <c r="H12" s="1010"/>
      <c r="I12" s="1010"/>
      <c r="J12" s="669"/>
      <c r="K12" s="665"/>
    </row>
    <row r="13" spans="1:14" s="486" customFormat="1" ht="7.5" customHeight="1" x14ac:dyDescent="0.3">
      <c r="A13" s="484"/>
      <c r="B13" s="484"/>
      <c r="C13" s="484"/>
      <c r="D13" s="484"/>
      <c r="E13" s="484"/>
      <c r="F13" s="484"/>
      <c r="G13" s="484"/>
      <c r="H13" s="484"/>
      <c r="I13" s="484"/>
      <c r="J13" s="664"/>
      <c r="K13" s="665"/>
    </row>
    <row r="14" spans="1:14" s="129" customFormat="1" ht="12.95" customHeight="1" x14ac:dyDescent="0.25">
      <c r="A14" s="129" t="s">
        <v>359</v>
      </c>
      <c r="B14" s="130"/>
      <c r="C14" s="307"/>
      <c r="D14" s="307"/>
      <c r="E14" s="307"/>
      <c r="F14" s="307"/>
      <c r="G14" s="307"/>
      <c r="H14" s="307"/>
      <c r="I14" s="307"/>
      <c r="J14" s="666"/>
      <c r="K14" s="666"/>
      <c r="L14" s="130"/>
      <c r="M14" s="130"/>
      <c r="N14" s="130"/>
    </row>
    <row r="15" spans="1:14" s="486" customFormat="1" ht="12.95" customHeight="1" x14ac:dyDescent="0.3">
      <c r="A15" s="922" t="s">
        <v>422</v>
      </c>
      <c r="B15" s="922"/>
      <c r="C15" s="922"/>
      <c r="D15" s="922"/>
      <c r="E15" s="922"/>
      <c r="F15" s="922"/>
      <c r="G15" s="922"/>
      <c r="H15" s="922"/>
      <c r="I15" s="922"/>
      <c r="J15" s="670"/>
      <c r="K15" s="665"/>
    </row>
    <row r="16" spans="1:14" s="486" customFormat="1" ht="12.95" customHeight="1" x14ac:dyDescent="0.3">
      <c r="A16" s="922" t="s">
        <v>427</v>
      </c>
      <c r="B16" s="922"/>
      <c r="C16" s="922"/>
      <c r="D16" s="922"/>
      <c r="E16" s="922"/>
      <c r="F16" s="922"/>
      <c r="G16" s="922"/>
      <c r="H16" s="922"/>
      <c r="I16" s="922"/>
      <c r="J16" s="670"/>
      <c r="K16" s="665"/>
    </row>
    <row r="17" spans="1:11" s="670" customFormat="1" ht="12.95" customHeight="1" x14ac:dyDescent="0.25">
      <c r="A17" s="922" t="s">
        <v>424</v>
      </c>
      <c r="B17" s="922"/>
      <c r="C17" s="922"/>
      <c r="D17" s="922"/>
      <c r="E17" s="922"/>
      <c r="F17" s="922"/>
      <c r="G17" s="922"/>
      <c r="H17" s="922"/>
      <c r="I17" s="922"/>
    </row>
    <row r="18" spans="1:11" s="486" customFormat="1" ht="9.75" customHeight="1" x14ac:dyDescent="0.3">
      <c r="J18" s="665"/>
      <c r="K18" s="665"/>
    </row>
    <row r="19" spans="1:11" s="486" customFormat="1" ht="20.25" customHeight="1" x14ac:dyDescent="0.3">
      <c r="A19" s="926" t="s">
        <v>651</v>
      </c>
      <c r="B19" s="926"/>
      <c r="C19" s="926"/>
      <c r="D19" s="926"/>
      <c r="E19" s="926"/>
      <c r="F19" s="926"/>
      <c r="G19" s="926"/>
      <c r="H19" s="926"/>
      <c r="I19" s="926"/>
      <c r="J19" s="665"/>
      <c r="K19" s="665"/>
    </row>
    <row r="20" spans="1:11" ht="26.25" customHeight="1" x14ac:dyDescent="0.3">
      <c r="A20" s="1017" t="s">
        <v>315</v>
      </c>
      <c r="B20" s="1017"/>
      <c r="C20" s="1017"/>
      <c r="D20" s="1017"/>
      <c r="E20" s="1017"/>
      <c r="F20" s="1017"/>
      <c r="G20" s="1017"/>
      <c r="H20" s="1017"/>
      <c r="I20" s="1017"/>
    </row>
    <row r="21" spans="1:11" ht="10.5" customHeight="1" x14ac:dyDescent="0.25">
      <c r="A21" s="1019" t="s">
        <v>0</v>
      </c>
      <c r="B21" s="980" t="s">
        <v>164</v>
      </c>
      <c r="C21" s="991" t="s">
        <v>165</v>
      </c>
      <c r="D21" s="991" t="s">
        <v>166</v>
      </c>
      <c r="E21" s="991" t="s">
        <v>167</v>
      </c>
      <c r="F21" s="991" t="s">
        <v>168</v>
      </c>
      <c r="G21" s="991" t="s">
        <v>49</v>
      </c>
      <c r="H21" s="991" t="s">
        <v>169</v>
      </c>
      <c r="I21" s="991"/>
    </row>
    <row r="22" spans="1:11" ht="10.5" customHeight="1" x14ac:dyDescent="0.25">
      <c r="A22" s="1019"/>
      <c r="B22" s="980"/>
      <c r="C22" s="991"/>
      <c r="D22" s="991"/>
      <c r="E22" s="991"/>
      <c r="F22" s="991"/>
      <c r="G22" s="991"/>
      <c r="H22" s="991"/>
      <c r="I22" s="991"/>
    </row>
    <row r="23" spans="1:11" ht="9" customHeight="1" x14ac:dyDescent="0.25">
      <c r="A23" s="1019"/>
      <c r="B23" s="980"/>
      <c r="C23" s="991"/>
      <c r="D23" s="991"/>
      <c r="E23" s="991"/>
      <c r="F23" s="991"/>
      <c r="G23" s="991"/>
      <c r="H23" s="488" t="s">
        <v>54</v>
      </c>
      <c r="I23" s="488" t="s">
        <v>53</v>
      </c>
    </row>
    <row r="24" spans="1:11" ht="10.5" customHeight="1" x14ac:dyDescent="0.25">
      <c r="A24" s="487">
        <v>1</v>
      </c>
      <c r="B24" s="76">
        <v>2</v>
      </c>
      <c r="C24" s="488">
        <v>3</v>
      </c>
      <c r="D24" s="488">
        <v>4</v>
      </c>
      <c r="E24" s="488">
        <v>5</v>
      </c>
      <c r="F24" s="488">
        <v>6</v>
      </c>
      <c r="G24" s="488">
        <v>7</v>
      </c>
      <c r="H24" s="488">
        <v>8</v>
      </c>
      <c r="I24" s="488">
        <v>9</v>
      </c>
    </row>
    <row r="25" spans="1:11" ht="15" customHeight="1" x14ac:dyDescent="0.25">
      <c r="A25" s="985" t="s">
        <v>298</v>
      </c>
      <c r="B25" s="985"/>
      <c r="C25" s="985"/>
      <c r="D25" s="985"/>
      <c r="E25" s="985"/>
      <c r="F25" s="985"/>
      <c r="G25" s="985"/>
      <c r="H25" s="985"/>
      <c r="I25" s="985"/>
    </row>
    <row r="26" spans="1:11" ht="15" customHeight="1" x14ac:dyDescent="0.25">
      <c r="A26" s="985" t="s">
        <v>16</v>
      </c>
      <c r="B26" s="985"/>
      <c r="C26" s="985"/>
      <c r="D26" s="985"/>
      <c r="E26" s="985"/>
      <c r="F26" s="985"/>
      <c r="G26" s="985"/>
      <c r="H26" s="985"/>
      <c r="I26" s="985"/>
    </row>
    <row r="27" spans="1:11" ht="15" customHeight="1" x14ac:dyDescent="0.25">
      <c r="A27" s="985" t="s">
        <v>33</v>
      </c>
      <c r="B27" s="985"/>
      <c r="C27" s="985"/>
      <c r="D27" s="985"/>
      <c r="E27" s="985"/>
      <c r="F27" s="985"/>
      <c r="G27" s="985"/>
      <c r="H27" s="985"/>
      <c r="I27" s="985"/>
    </row>
    <row r="28" spans="1:11" ht="15" customHeight="1" x14ac:dyDescent="0.25">
      <c r="A28" s="1018">
        <v>800302</v>
      </c>
      <c r="B28" s="980" t="s">
        <v>175</v>
      </c>
      <c r="C28" s="980">
        <v>1326</v>
      </c>
      <c r="D28" s="76">
        <v>8.9999999999999993E-3</v>
      </c>
      <c r="E28" s="980">
        <v>8953.7999999999993</v>
      </c>
      <c r="F28" s="490" t="s">
        <v>170</v>
      </c>
      <c r="G28" s="491" t="s">
        <v>162</v>
      </c>
      <c r="H28" s="76">
        <f>ROUND(I28*1000000/(C28*3600),6)</f>
        <v>1.7E-5</v>
      </c>
      <c r="I28" s="76">
        <f>ROUND(D28*E28/1000000,6)</f>
        <v>8.1000000000000004E-5</v>
      </c>
    </row>
    <row r="29" spans="1:11" ht="15" customHeight="1" x14ac:dyDescent="0.25">
      <c r="A29" s="1007"/>
      <c r="B29" s="980"/>
      <c r="C29" s="980"/>
      <c r="D29" s="76">
        <v>3.8999999999999998E-3</v>
      </c>
      <c r="E29" s="980"/>
      <c r="F29" s="490" t="s">
        <v>171</v>
      </c>
      <c r="G29" s="491" t="s">
        <v>172</v>
      </c>
      <c r="H29" s="76">
        <f>ROUND(I29*1000000/(C28*3600),6)</f>
        <v>6.9999999999999999E-6</v>
      </c>
      <c r="I29" s="76">
        <f>ROUND(D29*E28/1000000,6)</f>
        <v>3.4999999999999997E-5</v>
      </c>
    </row>
    <row r="30" spans="1:11" ht="15" customHeight="1" x14ac:dyDescent="0.25">
      <c r="A30" s="985" t="s">
        <v>94</v>
      </c>
      <c r="B30" s="985"/>
      <c r="C30" s="985"/>
      <c r="D30" s="985"/>
      <c r="E30" s="985"/>
      <c r="F30" s="985"/>
      <c r="G30" s="985"/>
      <c r="H30" s="985"/>
      <c r="I30" s="985"/>
    </row>
    <row r="31" spans="1:11" ht="15" customHeight="1" x14ac:dyDescent="0.25">
      <c r="A31" s="1008">
        <v>800602</v>
      </c>
      <c r="B31" s="980" t="s">
        <v>174</v>
      </c>
      <c r="C31" s="991">
        <v>366</v>
      </c>
      <c r="D31" s="76">
        <v>8.9999999999999993E-3</v>
      </c>
      <c r="E31" s="991">
        <v>33</v>
      </c>
      <c r="F31" s="490" t="s">
        <v>170</v>
      </c>
      <c r="G31" s="491" t="s">
        <v>162</v>
      </c>
      <c r="H31" s="76">
        <f>ROUND(I31*1000000/(C31*3600),7)</f>
        <v>1.9999999999999999E-7</v>
      </c>
      <c r="I31" s="76">
        <f>ROUND(D31*E31/1000000,7)</f>
        <v>2.9999999999999999E-7</v>
      </c>
    </row>
    <row r="32" spans="1:11" ht="15" customHeight="1" x14ac:dyDescent="0.25">
      <c r="A32" s="1009"/>
      <c r="B32" s="980"/>
      <c r="C32" s="991"/>
      <c r="D32" s="76">
        <v>3.8999999999999998E-3</v>
      </c>
      <c r="E32" s="991"/>
      <c r="F32" s="490" t="s">
        <v>171</v>
      </c>
      <c r="G32" s="491" t="s">
        <v>172</v>
      </c>
      <c r="H32" s="76">
        <f>ROUND(I32*1000000/(C31*3600),7)</f>
        <v>9.9999999999999995E-8</v>
      </c>
      <c r="I32" s="76">
        <f>ROUND(D32*E31/1000000,7)</f>
        <v>9.9999999999999995E-8</v>
      </c>
    </row>
    <row r="33" spans="1:12" ht="15" customHeight="1" x14ac:dyDescent="0.25">
      <c r="A33" s="1009"/>
      <c r="B33" s="1007" t="s">
        <v>175</v>
      </c>
      <c r="C33" s="1007">
        <v>114</v>
      </c>
      <c r="D33" s="522">
        <v>8.9999999999999993E-3</v>
      </c>
      <c r="E33" s="1007">
        <v>770</v>
      </c>
      <c r="F33" s="490" t="s">
        <v>170</v>
      </c>
      <c r="G33" s="491" t="s">
        <v>162</v>
      </c>
      <c r="H33" s="76">
        <f>ROUND(I33*1000000/(C33*3600),6)</f>
        <v>1.7E-5</v>
      </c>
      <c r="I33" s="76">
        <f>ROUND(D33*E33/1000000,6)</f>
        <v>6.9999999999999999E-6</v>
      </c>
    </row>
    <row r="34" spans="1:12" ht="15" customHeight="1" x14ac:dyDescent="0.25">
      <c r="A34" s="773"/>
      <c r="B34" s="980"/>
      <c r="C34" s="980"/>
      <c r="D34" s="76">
        <v>3.8999999999999998E-3</v>
      </c>
      <c r="E34" s="980"/>
      <c r="F34" s="490" t="s">
        <v>171</v>
      </c>
      <c r="G34" s="491" t="s">
        <v>172</v>
      </c>
      <c r="H34" s="76">
        <f>ROUND(I34*1000000/(C33*3600),7)</f>
        <v>7.3000000000000004E-6</v>
      </c>
      <c r="I34" s="76">
        <f>ROUND(D34*E33/1000000,6)</f>
        <v>3.0000000000000001E-6</v>
      </c>
    </row>
    <row r="35" spans="1:12" ht="17.25" customHeight="1" x14ac:dyDescent="0.25">
      <c r="A35" s="1011" t="s">
        <v>490</v>
      </c>
      <c r="B35" s="1012"/>
      <c r="C35" s="1012"/>
      <c r="D35" s="1012"/>
      <c r="E35" s="1013"/>
      <c r="F35" s="492" t="s">
        <v>170</v>
      </c>
      <c r="G35" s="493" t="s">
        <v>162</v>
      </c>
      <c r="H35" s="489">
        <f>H31+H33</f>
        <v>1.7200000000000001E-5</v>
      </c>
      <c r="I35" s="489">
        <f>I31+I33</f>
        <v>7.2999999999999996E-6</v>
      </c>
    </row>
    <row r="36" spans="1:12" ht="17.25" customHeight="1" x14ac:dyDescent="0.25">
      <c r="A36" s="1014"/>
      <c r="B36" s="1015"/>
      <c r="C36" s="1015"/>
      <c r="D36" s="1015"/>
      <c r="E36" s="1016"/>
      <c r="F36" s="492" t="s">
        <v>171</v>
      </c>
      <c r="G36" s="493" t="s">
        <v>172</v>
      </c>
      <c r="H36" s="489">
        <f>H32+H34</f>
        <v>7.4000000000000003E-6</v>
      </c>
      <c r="I36" s="489">
        <f>I32+I34</f>
        <v>3.1E-6</v>
      </c>
      <c r="J36" s="667">
        <f>SUM(H28+H29+H35+H36)</f>
        <v>4.8600000000000002E-5</v>
      </c>
      <c r="K36" s="667">
        <f>SUM(I28+I29+I35+I36)</f>
        <v>1.2639999999999998E-4</v>
      </c>
    </row>
    <row r="37" spans="1:12" s="545" customFormat="1" ht="15" customHeight="1" x14ac:dyDescent="0.25">
      <c r="A37" s="985" t="s">
        <v>97</v>
      </c>
      <c r="B37" s="985"/>
      <c r="C37" s="985"/>
      <c r="D37" s="985"/>
      <c r="E37" s="985"/>
      <c r="F37" s="985"/>
      <c r="G37" s="985"/>
      <c r="H37" s="985"/>
      <c r="I37" s="985"/>
      <c r="J37" s="668"/>
      <c r="K37" s="668"/>
    </row>
    <row r="38" spans="1:12" s="545" customFormat="1" ht="15" customHeight="1" x14ac:dyDescent="0.25">
      <c r="A38" s="985" t="s">
        <v>94</v>
      </c>
      <c r="B38" s="985"/>
      <c r="C38" s="985"/>
      <c r="D38" s="985"/>
      <c r="E38" s="985"/>
      <c r="F38" s="985"/>
      <c r="G38" s="985"/>
      <c r="H38" s="985"/>
      <c r="I38" s="985"/>
      <c r="J38" s="668"/>
      <c r="K38" s="668"/>
    </row>
    <row r="39" spans="1:12" s="545" customFormat="1" ht="15" customHeight="1" x14ac:dyDescent="0.25">
      <c r="A39" s="871">
        <v>800602</v>
      </c>
      <c r="B39" s="980" t="s">
        <v>174</v>
      </c>
      <c r="C39" s="991">
        <v>379</v>
      </c>
      <c r="D39" s="76">
        <v>8.9999999999999993E-3</v>
      </c>
      <c r="E39" s="991">
        <v>34</v>
      </c>
      <c r="F39" s="490" t="s">
        <v>170</v>
      </c>
      <c r="G39" s="491" t="s">
        <v>162</v>
      </c>
      <c r="H39" s="76">
        <f>ROUND(I39*1000000/(C39*3600),7)</f>
        <v>1.9999999999999999E-7</v>
      </c>
      <c r="I39" s="76">
        <f>ROUND(D39*E39/1000000,7)</f>
        <v>2.9999999999999999E-7</v>
      </c>
      <c r="J39" s="668"/>
      <c r="K39" s="668"/>
    </row>
    <row r="40" spans="1:12" s="545" customFormat="1" ht="15" customHeight="1" x14ac:dyDescent="0.25">
      <c r="A40" s="863"/>
      <c r="B40" s="980"/>
      <c r="C40" s="991"/>
      <c r="D40" s="76">
        <v>3.8999999999999998E-3</v>
      </c>
      <c r="E40" s="991"/>
      <c r="F40" s="490" t="s">
        <v>171</v>
      </c>
      <c r="G40" s="491" t="s">
        <v>172</v>
      </c>
      <c r="H40" s="76">
        <f>ROUND(I40*1000000/(C39*3600),7)</f>
        <v>9.9999999999999995E-8</v>
      </c>
      <c r="I40" s="76">
        <f>ROUND(D40*E39/1000000,7)</f>
        <v>9.9999999999999995E-8</v>
      </c>
      <c r="J40" s="668"/>
      <c r="K40" s="668"/>
    </row>
    <row r="41" spans="1:12" s="545" customFormat="1" ht="15" customHeight="1" x14ac:dyDescent="0.25">
      <c r="A41" s="985" t="s">
        <v>125</v>
      </c>
      <c r="B41" s="985"/>
      <c r="C41" s="985"/>
      <c r="D41" s="985"/>
      <c r="E41" s="985"/>
      <c r="F41" s="985"/>
      <c r="G41" s="985"/>
      <c r="H41" s="985"/>
      <c r="I41" s="985"/>
      <c r="J41" s="668"/>
      <c r="K41" s="668"/>
    </row>
    <row r="42" spans="1:12" ht="15" customHeight="1" x14ac:dyDescent="0.25">
      <c r="A42" s="986">
        <v>801102</v>
      </c>
      <c r="B42" s="980" t="s">
        <v>175</v>
      </c>
      <c r="C42" s="980">
        <v>13</v>
      </c>
      <c r="D42" s="76">
        <v>8.9999999999999993E-3</v>
      </c>
      <c r="E42" s="980">
        <v>5.5</v>
      </c>
      <c r="F42" s="490" t="s">
        <v>170</v>
      </c>
      <c r="G42" s="491" t="s">
        <v>162</v>
      </c>
      <c r="H42" s="76">
        <f>ROUND(I42*1000000/(C42*3600),6)</f>
        <v>9.9999999999999995E-7</v>
      </c>
      <c r="I42" s="76">
        <f>ROUND(D42*E42/1000000,8)</f>
        <v>4.9999999999999998E-8</v>
      </c>
      <c r="J42" s="667"/>
      <c r="K42" s="667"/>
      <c r="L42" s="494"/>
    </row>
    <row r="43" spans="1:12" ht="15" customHeight="1" x14ac:dyDescent="0.25">
      <c r="A43" s="987"/>
      <c r="B43" s="980"/>
      <c r="C43" s="980"/>
      <c r="D43" s="76">
        <v>3.8999999999999998E-3</v>
      </c>
      <c r="E43" s="980"/>
      <c r="F43" s="490" t="s">
        <v>171</v>
      </c>
      <c r="G43" s="491" t="s">
        <v>172</v>
      </c>
      <c r="H43" s="76">
        <f>ROUND(I43*1000000/(C42*3600),7)</f>
        <v>3.9999999999999998E-7</v>
      </c>
      <c r="I43" s="76">
        <f>ROUND(D43*E42/1000000,8)</f>
        <v>2E-8</v>
      </c>
      <c r="J43" s="667"/>
      <c r="K43" s="667"/>
      <c r="L43" s="494"/>
    </row>
    <row r="44" spans="1:12" ht="15" customHeight="1" x14ac:dyDescent="0.25">
      <c r="A44" s="985" t="s">
        <v>127</v>
      </c>
      <c r="B44" s="985"/>
      <c r="C44" s="985"/>
      <c r="D44" s="985"/>
      <c r="E44" s="985"/>
      <c r="F44" s="985"/>
      <c r="G44" s="985"/>
      <c r="H44" s="985"/>
      <c r="I44" s="985"/>
    </row>
    <row r="45" spans="1:12" ht="15" customHeight="1" x14ac:dyDescent="0.25">
      <c r="A45" s="986">
        <v>801302</v>
      </c>
      <c r="B45" s="980" t="s">
        <v>175</v>
      </c>
      <c r="C45" s="980">
        <v>13</v>
      </c>
      <c r="D45" s="76">
        <v>8.9999999999999993E-3</v>
      </c>
      <c r="E45" s="980">
        <v>5.5</v>
      </c>
      <c r="F45" s="490" t="s">
        <v>170</v>
      </c>
      <c r="G45" s="491" t="s">
        <v>162</v>
      </c>
      <c r="H45" s="76">
        <f>ROUND(I45*1000000/(C45*3600),6)</f>
        <v>9.9999999999999995E-7</v>
      </c>
      <c r="I45" s="76">
        <f>ROUND(D45*E45/1000000,8)</f>
        <v>4.9999999999999998E-8</v>
      </c>
      <c r="J45" s="667"/>
      <c r="K45" s="667"/>
    </row>
    <row r="46" spans="1:12" ht="15" customHeight="1" x14ac:dyDescent="0.25">
      <c r="A46" s="987"/>
      <c r="B46" s="980"/>
      <c r="C46" s="980"/>
      <c r="D46" s="76">
        <v>3.8999999999999998E-3</v>
      </c>
      <c r="E46" s="980"/>
      <c r="F46" s="490" t="s">
        <v>171</v>
      </c>
      <c r="G46" s="491" t="s">
        <v>172</v>
      </c>
      <c r="H46" s="76">
        <f>ROUND(I46*1000000/(C45*3600),7)</f>
        <v>3.9999999999999998E-7</v>
      </c>
      <c r="I46" s="76">
        <f>ROUND(D46*E45/1000000,8)</f>
        <v>2E-8</v>
      </c>
      <c r="J46" s="667"/>
      <c r="K46" s="667"/>
    </row>
    <row r="47" spans="1:12" ht="15" customHeight="1" x14ac:dyDescent="0.25">
      <c r="A47" s="985" t="s">
        <v>128</v>
      </c>
      <c r="B47" s="985"/>
      <c r="C47" s="985"/>
      <c r="D47" s="985"/>
      <c r="E47" s="985"/>
      <c r="F47" s="985"/>
      <c r="G47" s="985"/>
      <c r="H47" s="985"/>
      <c r="I47" s="985"/>
    </row>
    <row r="48" spans="1:12" ht="15" customHeight="1" x14ac:dyDescent="0.25">
      <c r="A48" s="986">
        <v>801502</v>
      </c>
      <c r="B48" s="980" t="s">
        <v>175</v>
      </c>
      <c r="C48" s="980">
        <v>13</v>
      </c>
      <c r="D48" s="76">
        <v>8.9999999999999993E-3</v>
      </c>
      <c r="E48" s="980">
        <v>5.5</v>
      </c>
      <c r="F48" s="490" t="s">
        <v>170</v>
      </c>
      <c r="G48" s="491" t="s">
        <v>162</v>
      </c>
      <c r="H48" s="76">
        <f>ROUND(I48*1000000/(C48*3600),6)</f>
        <v>9.9999999999999995E-7</v>
      </c>
      <c r="I48" s="76">
        <f>ROUND(D48*E48/1000000,8)</f>
        <v>4.9999999999999998E-8</v>
      </c>
      <c r="J48" s="667"/>
      <c r="K48" s="667"/>
    </row>
    <row r="49" spans="1:11" ht="15" customHeight="1" x14ac:dyDescent="0.25">
      <c r="A49" s="987"/>
      <c r="B49" s="980"/>
      <c r="C49" s="980"/>
      <c r="D49" s="76">
        <v>3.8999999999999998E-3</v>
      </c>
      <c r="E49" s="980"/>
      <c r="F49" s="490" t="s">
        <v>171</v>
      </c>
      <c r="G49" s="491" t="s">
        <v>172</v>
      </c>
      <c r="H49" s="76">
        <f>ROUND(I49*1000000/(C48*3600),7)</f>
        <v>3.9999999999999998E-7</v>
      </c>
      <c r="I49" s="76">
        <f>ROUND(D49*E48/1000000,8)</f>
        <v>2E-8</v>
      </c>
      <c r="J49" s="667">
        <f>SUM(H39:H49)</f>
        <v>4.4999999999999993E-6</v>
      </c>
      <c r="K49" s="667">
        <f>SUM(I39:I49)</f>
        <v>6.1000000000000009E-7</v>
      </c>
    </row>
    <row r="50" spans="1:11" ht="15" customHeight="1" x14ac:dyDescent="0.25">
      <c r="A50" s="992" t="s">
        <v>103</v>
      </c>
      <c r="B50" s="992"/>
      <c r="C50" s="992"/>
      <c r="D50" s="992"/>
      <c r="E50" s="992"/>
      <c r="F50" s="992"/>
      <c r="G50" s="992"/>
      <c r="H50" s="992"/>
      <c r="I50" s="992"/>
    </row>
    <row r="51" spans="1:11" ht="15" customHeight="1" x14ac:dyDescent="0.25">
      <c r="A51" s="993" t="s">
        <v>104</v>
      </c>
      <c r="B51" s="994"/>
      <c r="C51" s="994"/>
      <c r="D51" s="994"/>
      <c r="E51" s="994"/>
      <c r="F51" s="994"/>
      <c r="G51" s="994"/>
      <c r="H51" s="994"/>
      <c r="I51" s="995"/>
    </row>
    <row r="52" spans="1:11" ht="12" customHeight="1" x14ac:dyDescent="0.25">
      <c r="A52" s="852">
        <v>800602</v>
      </c>
      <c r="B52" s="991" t="s">
        <v>174</v>
      </c>
      <c r="C52" s="991">
        <v>52</v>
      </c>
      <c r="D52" s="488">
        <v>8.9999999999999993E-3</v>
      </c>
      <c r="E52" s="991">
        <v>5</v>
      </c>
      <c r="F52" s="496" t="s">
        <v>170</v>
      </c>
      <c r="G52" s="497" t="s">
        <v>162</v>
      </c>
      <c r="H52" s="488">
        <f>ROUND(I52*1000000/(C52*3600),7)</f>
        <v>2.9999999999999999E-7</v>
      </c>
      <c r="I52" s="488">
        <f>ROUND(D52*E52/1000000,8)</f>
        <v>4.9999999999999998E-8</v>
      </c>
    </row>
    <row r="53" spans="1:11" ht="12" customHeight="1" x14ac:dyDescent="0.25">
      <c r="A53" s="1005"/>
      <c r="B53" s="991"/>
      <c r="C53" s="991"/>
      <c r="D53" s="488">
        <v>3.8999999999999998E-3</v>
      </c>
      <c r="E53" s="991"/>
      <c r="F53" s="496" t="s">
        <v>171</v>
      </c>
      <c r="G53" s="497" t="s">
        <v>172</v>
      </c>
      <c r="H53" s="488">
        <f>ROUND(I53*1000000/(C52*3600),7)</f>
        <v>9.9999999999999995E-8</v>
      </c>
      <c r="I53" s="488">
        <f>ROUND(D53*E52/1000000,8)</f>
        <v>2E-8</v>
      </c>
    </row>
    <row r="54" spans="1:11" ht="12" customHeight="1" x14ac:dyDescent="0.25">
      <c r="A54" s="1006"/>
      <c r="B54" s="991" t="s">
        <v>175</v>
      </c>
      <c r="C54" s="991">
        <v>1080</v>
      </c>
      <c r="D54" s="488">
        <v>8.9999999999999993E-3</v>
      </c>
      <c r="E54" s="991">
        <v>822.5</v>
      </c>
      <c r="F54" s="496" t="s">
        <v>170</v>
      </c>
      <c r="G54" s="497" t="s">
        <v>162</v>
      </c>
      <c r="H54" s="488">
        <f>ROUND(I54*1000000/(C54*3600),6)</f>
        <v>1.9999999999999999E-6</v>
      </c>
      <c r="I54" s="488">
        <f>ROUND(D54*E54/1000000,6)</f>
        <v>6.9999999999999999E-6</v>
      </c>
    </row>
    <row r="55" spans="1:11" ht="12" customHeight="1" x14ac:dyDescent="0.25">
      <c r="A55" s="996"/>
      <c r="B55" s="991"/>
      <c r="C55" s="991"/>
      <c r="D55" s="488">
        <v>3.8999999999999998E-3</v>
      </c>
      <c r="E55" s="991"/>
      <c r="F55" s="496" t="s">
        <v>171</v>
      </c>
      <c r="G55" s="497" t="s">
        <v>172</v>
      </c>
      <c r="H55" s="488">
        <f>ROUND(I55*1000000/(C54*3600),6)</f>
        <v>9.9999999999999995E-7</v>
      </c>
      <c r="I55" s="488">
        <f>ROUND(D55*E54/1000000,6)</f>
        <v>3.0000000000000001E-6</v>
      </c>
    </row>
    <row r="56" spans="1:11" ht="12" customHeight="1" x14ac:dyDescent="0.25">
      <c r="A56" s="999" t="s">
        <v>490</v>
      </c>
      <c r="B56" s="1000"/>
      <c r="C56" s="1000"/>
      <c r="D56" s="1000"/>
      <c r="E56" s="1001"/>
      <c r="F56" s="498" t="s">
        <v>170</v>
      </c>
      <c r="G56" s="499" t="s">
        <v>162</v>
      </c>
      <c r="H56" s="495">
        <f>H52+H54</f>
        <v>2.3E-6</v>
      </c>
      <c r="I56" s="495">
        <f>I52+I54</f>
        <v>7.0500000000000003E-6</v>
      </c>
      <c r="J56" s="667"/>
      <c r="K56" s="667"/>
    </row>
    <row r="57" spans="1:11" ht="12" customHeight="1" x14ac:dyDescent="0.25">
      <c r="A57" s="1002"/>
      <c r="B57" s="1003"/>
      <c r="C57" s="1003"/>
      <c r="D57" s="1003"/>
      <c r="E57" s="1004"/>
      <c r="F57" s="498" t="s">
        <v>171</v>
      </c>
      <c r="G57" s="499" t="s">
        <v>172</v>
      </c>
      <c r="H57" s="495">
        <f>H53+H55</f>
        <v>1.1000000000000001E-6</v>
      </c>
      <c r="I57" s="495">
        <f>I53+I55</f>
        <v>3.0199999999999999E-6</v>
      </c>
      <c r="J57" s="667">
        <f>SUM(H56:H57)</f>
        <v>3.4000000000000001E-6</v>
      </c>
      <c r="K57" s="667">
        <f>SUM(I56:I57)</f>
        <v>1.007E-5</v>
      </c>
    </row>
    <row r="58" spans="1:11" ht="12" customHeight="1" x14ac:dyDescent="0.25">
      <c r="A58" s="992" t="s">
        <v>105</v>
      </c>
      <c r="B58" s="992"/>
      <c r="C58" s="992"/>
      <c r="D58" s="992"/>
      <c r="E58" s="992"/>
      <c r="F58" s="992"/>
      <c r="G58" s="992"/>
      <c r="H58" s="992"/>
      <c r="I58" s="992"/>
      <c r="J58" s="667"/>
      <c r="K58" s="667"/>
    </row>
    <row r="59" spans="1:11" ht="12" customHeight="1" x14ac:dyDescent="0.25">
      <c r="A59" s="993" t="s">
        <v>104</v>
      </c>
      <c r="B59" s="994"/>
      <c r="C59" s="994"/>
      <c r="D59" s="994"/>
      <c r="E59" s="994"/>
      <c r="F59" s="994"/>
      <c r="G59" s="994"/>
      <c r="H59" s="994"/>
      <c r="I59" s="995"/>
      <c r="J59" s="667"/>
      <c r="K59" s="667"/>
    </row>
    <row r="60" spans="1:11" ht="12" customHeight="1" x14ac:dyDescent="0.25">
      <c r="A60" s="871">
        <v>800602</v>
      </c>
      <c r="B60" s="991" t="s">
        <v>174</v>
      </c>
      <c r="C60" s="991">
        <v>35</v>
      </c>
      <c r="D60" s="488">
        <v>8.9999999999999993E-3</v>
      </c>
      <c r="E60" s="991">
        <v>3</v>
      </c>
      <c r="F60" s="496" t="s">
        <v>170</v>
      </c>
      <c r="G60" s="497" t="s">
        <v>162</v>
      </c>
      <c r="H60" s="488">
        <f>ROUND(I60*1000000/(C60*3600),7)</f>
        <v>1.9999999999999999E-7</v>
      </c>
      <c r="I60" s="488">
        <f>ROUND(D60*E60/1000000,8)</f>
        <v>2.9999999999999997E-8</v>
      </c>
      <c r="J60" s="667"/>
      <c r="K60" s="667"/>
    </row>
    <row r="61" spans="1:11" ht="12" customHeight="1" x14ac:dyDescent="0.25">
      <c r="A61" s="863"/>
      <c r="B61" s="991"/>
      <c r="C61" s="991"/>
      <c r="D61" s="488">
        <v>3.8999999999999998E-3</v>
      </c>
      <c r="E61" s="991"/>
      <c r="F61" s="496" t="s">
        <v>171</v>
      </c>
      <c r="G61" s="497" t="s">
        <v>172</v>
      </c>
      <c r="H61" s="488">
        <f>ROUND(I61*1000000/(C60*3600),7)</f>
        <v>9.9999999999999995E-8</v>
      </c>
      <c r="I61" s="488">
        <f>ROUND(D61*E60/1000000,8)</f>
        <v>1E-8</v>
      </c>
      <c r="J61" s="667">
        <f>SUM(H60:H61)</f>
        <v>2.9999999999999999E-7</v>
      </c>
      <c r="K61" s="667">
        <f>SUM(I60:I61)</f>
        <v>4.0000000000000001E-8</v>
      </c>
    </row>
    <row r="62" spans="1:11" ht="15" customHeight="1" x14ac:dyDescent="0.25">
      <c r="A62" s="992" t="s">
        <v>109</v>
      </c>
      <c r="B62" s="992"/>
      <c r="C62" s="992"/>
      <c r="D62" s="992"/>
      <c r="E62" s="992"/>
      <c r="F62" s="992"/>
      <c r="G62" s="992"/>
      <c r="H62" s="992"/>
      <c r="I62" s="992"/>
    </row>
    <row r="63" spans="1:11" ht="15" customHeight="1" x14ac:dyDescent="0.25">
      <c r="A63" s="993" t="s">
        <v>110</v>
      </c>
      <c r="B63" s="994"/>
      <c r="C63" s="994"/>
      <c r="D63" s="994"/>
      <c r="E63" s="994"/>
      <c r="F63" s="994"/>
      <c r="G63" s="994"/>
      <c r="H63" s="994"/>
      <c r="I63" s="995"/>
    </row>
    <row r="64" spans="1:11" ht="15" customHeight="1" x14ac:dyDescent="0.25">
      <c r="A64" s="852">
        <v>800602</v>
      </c>
      <c r="B64" s="991" t="s">
        <v>174</v>
      </c>
      <c r="C64" s="991">
        <v>54</v>
      </c>
      <c r="D64" s="488">
        <v>8.9999999999999993E-3</v>
      </c>
      <c r="E64" s="991">
        <v>5</v>
      </c>
      <c r="F64" s="496" t="s">
        <v>170</v>
      </c>
      <c r="G64" s="497" t="s">
        <v>162</v>
      </c>
      <c r="H64" s="488">
        <f>ROUND(I64*1000000/(C64*3600),7)</f>
        <v>2.9999999999999999E-7</v>
      </c>
      <c r="I64" s="488">
        <f>ROUND(D64*E64/1000000,8)</f>
        <v>4.9999999999999998E-8</v>
      </c>
    </row>
    <row r="65" spans="1:11" ht="15" customHeight="1" x14ac:dyDescent="0.25">
      <c r="A65" s="1005"/>
      <c r="B65" s="991"/>
      <c r="C65" s="991"/>
      <c r="D65" s="488">
        <v>3.8999999999999998E-3</v>
      </c>
      <c r="E65" s="991"/>
      <c r="F65" s="496" t="s">
        <v>171</v>
      </c>
      <c r="G65" s="497" t="s">
        <v>172</v>
      </c>
      <c r="H65" s="488">
        <f>ROUND(I65*1000000/(C64*3600),7)</f>
        <v>9.9999999999999995E-8</v>
      </c>
      <c r="I65" s="488">
        <f>ROUND(D65*E64/1000000,8)</f>
        <v>2E-8</v>
      </c>
    </row>
    <row r="66" spans="1:11" ht="15" customHeight="1" x14ac:dyDescent="0.25">
      <c r="A66" s="1006"/>
      <c r="B66" s="991" t="s">
        <v>175</v>
      </c>
      <c r="C66" s="991">
        <v>1080</v>
      </c>
      <c r="D66" s="488">
        <v>8.9999999999999993E-3</v>
      </c>
      <c r="E66" s="991">
        <v>860</v>
      </c>
      <c r="F66" s="496" t="s">
        <v>170</v>
      </c>
      <c r="G66" s="497" t="s">
        <v>162</v>
      </c>
      <c r="H66" s="488">
        <f>ROUND(I66*1000000/(C66*3600),6)</f>
        <v>1.9999999999999999E-6</v>
      </c>
      <c r="I66" s="488">
        <f>ROUND(D66*E66/1000000,6)</f>
        <v>7.9999999999999996E-6</v>
      </c>
    </row>
    <row r="67" spans="1:11" ht="15" customHeight="1" x14ac:dyDescent="0.25">
      <c r="A67" s="996"/>
      <c r="B67" s="991"/>
      <c r="C67" s="991"/>
      <c r="D67" s="488">
        <v>3.8999999999999998E-3</v>
      </c>
      <c r="E67" s="991"/>
      <c r="F67" s="496" t="s">
        <v>171</v>
      </c>
      <c r="G67" s="497" t="s">
        <v>172</v>
      </c>
      <c r="H67" s="488">
        <f>ROUND(I67*1000000/(C66*3600),6)</f>
        <v>9.9999999999999995E-7</v>
      </c>
      <c r="I67" s="488">
        <f>ROUND(D67*E66/1000000,6)</f>
        <v>3.0000000000000001E-6</v>
      </c>
    </row>
    <row r="68" spans="1:11" ht="21" customHeight="1" x14ac:dyDescent="0.25">
      <c r="A68" s="999" t="s">
        <v>490</v>
      </c>
      <c r="B68" s="1000"/>
      <c r="C68" s="1000"/>
      <c r="D68" s="1000"/>
      <c r="E68" s="1001"/>
      <c r="F68" s="498" t="s">
        <v>170</v>
      </c>
      <c r="G68" s="499" t="s">
        <v>162</v>
      </c>
      <c r="H68" s="495">
        <f>H64+H66</f>
        <v>2.3E-6</v>
      </c>
      <c r="I68" s="495">
        <f>I64+I66</f>
        <v>8.0499999999999992E-6</v>
      </c>
      <c r="J68" s="667"/>
      <c r="K68" s="667"/>
    </row>
    <row r="69" spans="1:11" ht="21" customHeight="1" x14ac:dyDescent="0.25">
      <c r="A69" s="1002"/>
      <c r="B69" s="1003"/>
      <c r="C69" s="1003"/>
      <c r="D69" s="1003"/>
      <c r="E69" s="1004"/>
      <c r="F69" s="498" t="s">
        <v>171</v>
      </c>
      <c r="G69" s="499" t="s">
        <v>172</v>
      </c>
      <c r="H69" s="495">
        <f>H65+H67</f>
        <v>1.1000000000000001E-6</v>
      </c>
      <c r="I69" s="495">
        <f>I65+I67</f>
        <v>3.0199999999999999E-6</v>
      </c>
      <c r="J69" s="667">
        <f>SUM(H68:H69)</f>
        <v>3.4000000000000001E-6</v>
      </c>
      <c r="K69" s="667">
        <f>SUM(I68:I69)</f>
        <v>1.1069999999999999E-5</v>
      </c>
    </row>
    <row r="70" spans="1:11" ht="14.25" customHeight="1" x14ac:dyDescent="0.25">
      <c r="A70" s="992" t="s">
        <v>111</v>
      </c>
      <c r="B70" s="992"/>
      <c r="C70" s="992"/>
      <c r="D70" s="992"/>
      <c r="E70" s="992"/>
      <c r="F70" s="992"/>
      <c r="G70" s="992"/>
      <c r="H70" s="992"/>
      <c r="I70" s="992"/>
      <c r="J70" s="667"/>
      <c r="K70" s="667"/>
    </row>
    <row r="71" spans="1:11" ht="13.5" customHeight="1" x14ac:dyDescent="0.25">
      <c r="A71" s="993" t="s">
        <v>110</v>
      </c>
      <c r="B71" s="994"/>
      <c r="C71" s="994"/>
      <c r="D71" s="994"/>
      <c r="E71" s="994"/>
      <c r="F71" s="994"/>
      <c r="G71" s="994"/>
      <c r="H71" s="994"/>
      <c r="I71" s="995"/>
      <c r="J71" s="667"/>
      <c r="K71" s="667"/>
    </row>
    <row r="72" spans="1:11" ht="18.75" customHeight="1" x14ac:dyDescent="0.25">
      <c r="A72" s="871">
        <v>800602</v>
      </c>
      <c r="B72" s="991" t="s">
        <v>174</v>
      </c>
      <c r="C72" s="991">
        <v>36</v>
      </c>
      <c r="D72" s="488">
        <v>8.9999999999999993E-3</v>
      </c>
      <c r="E72" s="991">
        <v>3</v>
      </c>
      <c r="F72" s="496" t="s">
        <v>170</v>
      </c>
      <c r="G72" s="497" t="s">
        <v>162</v>
      </c>
      <c r="H72" s="488">
        <f>ROUND(I72*1000000/(C72*3600),7)</f>
        <v>1.9999999999999999E-7</v>
      </c>
      <c r="I72" s="488">
        <f>ROUND(D72*E72/1000000,8)</f>
        <v>2.9999999999999997E-8</v>
      </c>
      <c r="J72" s="667"/>
      <c r="K72" s="667"/>
    </row>
    <row r="73" spans="1:11" ht="17.25" customHeight="1" x14ac:dyDescent="0.25">
      <c r="A73" s="863"/>
      <c r="B73" s="991"/>
      <c r="C73" s="991"/>
      <c r="D73" s="488">
        <v>3.8999999999999998E-3</v>
      </c>
      <c r="E73" s="991"/>
      <c r="F73" s="496" t="s">
        <v>171</v>
      </c>
      <c r="G73" s="497" t="s">
        <v>172</v>
      </c>
      <c r="H73" s="488">
        <f>ROUND(I73*1000000/(C72*3600),7)</f>
        <v>9.9999999999999995E-8</v>
      </c>
      <c r="I73" s="488">
        <f>ROUND(D73*E72/1000000,8)</f>
        <v>1E-8</v>
      </c>
      <c r="J73" s="667">
        <f>SUM(H72:H73)</f>
        <v>2.9999999999999999E-7</v>
      </c>
      <c r="K73" s="667">
        <f>SUM(I72:I73)</f>
        <v>4.0000000000000001E-8</v>
      </c>
    </row>
    <row r="74" spans="1:11" ht="15" customHeight="1" x14ac:dyDescent="0.25">
      <c r="A74" s="992" t="s">
        <v>112</v>
      </c>
      <c r="B74" s="992"/>
      <c r="C74" s="992"/>
      <c r="D74" s="992"/>
      <c r="E74" s="992"/>
      <c r="F74" s="992"/>
      <c r="G74" s="992"/>
      <c r="H74" s="992"/>
      <c r="I74" s="992"/>
    </row>
    <row r="75" spans="1:11" ht="15" customHeight="1" x14ac:dyDescent="0.25">
      <c r="A75" s="993" t="s">
        <v>113</v>
      </c>
      <c r="B75" s="994"/>
      <c r="C75" s="994"/>
      <c r="D75" s="994"/>
      <c r="E75" s="994"/>
      <c r="F75" s="994"/>
      <c r="G75" s="994"/>
      <c r="H75" s="994"/>
      <c r="I75" s="995"/>
    </row>
    <row r="76" spans="1:11" ht="18.75" customHeight="1" x14ac:dyDescent="0.25">
      <c r="A76" s="855">
        <v>800602</v>
      </c>
      <c r="B76" s="997" t="s">
        <v>175</v>
      </c>
      <c r="C76" s="997">
        <v>1080</v>
      </c>
      <c r="D76" s="671">
        <v>8.9999999999999993E-3</v>
      </c>
      <c r="E76" s="997">
        <v>902.5</v>
      </c>
      <c r="F76" s="496" t="s">
        <v>170</v>
      </c>
      <c r="G76" s="497" t="s">
        <v>162</v>
      </c>
      <c r="H76" s="488">
        <f>ROUND(I76*1000000/(C76*3600),6)</f>
        <v>1.9999999999999999E-6</v>
      </c>
      <c r="I76" s="488">
        <f>ROUND(D76*E76/1000000,6)</f>
        <v>7.9999999999999996E-6</v>
      </c>
      <c r="J76" s="667"/>
      <c r="K76" s="667"/>
    </row>
    <row r="77" spans="1:11" ht="18.75" customHeight="1" x14ac:dyDescent="0.25">
      <c r="A77" s="998"/>
      <c r="B77" s="997"/>
      <c r="C77" s="997"/>
      <c r="D77" s="671">
        <v>3.8999999999999998E-3</v>
      </c>
      <c r="E77" s="997"/>
      <c r="F77" s="496" t="s">
        <v>171</v>
      </c>
      <c r="G77" s="497" t="s">
        <v>172</v>
      </c>
      <c r="H77" s="488">
        <f>ROUND(I77*1000000/(C76*3600),6)</f>
        <v>9.9999999999999995E-7</v>
      </c>
      <c r="I77" s="488">
        <f>ROUND(D77*E76/1000000,6)</f>
        <v>3.9999999999999998E-6</v>
      </c>
      <c r="J77" s="667">
        <f>H76+H77</f>
        <v>3.0000000000000001E-6</v>
      </c>
      <c r="K77" s="667">
        <f>I76+I77</f>
        <v>1.2E-5</v>
      </c>
    </row>
    <row r="78" spans="1:11" ht="15" customHeight="1" x14ac:dyDescent="0.25">
      <c r="A78" s="992" t="s">
        <v>114</v>
      </c>
      <c r="B78" s="992"/>
      <c r="C78" s="992"/>
      <c r="D78" s="992"/>
      <c r="E78" s="992"/>
      <c r="F78" s="992"/>
      <c r="G78" s="992"/>
      <c r="H78" s="992"/>
      <c r="I78" s="992"/>
    </row>
    <row r="79" spans="1:11" ht="15" customHeight="1" x14ac:dyDescent="0.25">
      <c r="A79" s="993" t="s">
        <v>113</v>
      </c>
      <c r="B79" s="994"/>
      <c r="C79" s="994"/>
      <c r="D79" s="994"/>
      <c r="E79" s="994"/>
      <c r="F79" s="994"/>
      <c r="G79" s="994"/>
      <c r="H79" s="994"/>
      <c r="I79" s="995"/>
    </row>
    <row r="80" spans="1:11" ht="15" customHeight="1" x14ac:dyDescent="0.25">
      <c r="A80" s="852">
        <v>800602</v>
      </c>
      <c r="B80" s="991" t="s">
        <v>173</v>
      </c>
      <c r="C80" s="991">
        <v>75</v>
      </c>
      <c r="D80" s="488">
        <v>8.9999999999999993E-3</v>
      </c>
      <c r="E80" s="991">
        <v>7</v>
      </c>
      <c r="F80" s="496" t="s">
        <v>170</v>
      </c>
      <c r="G80" s="497" t="s">
        <v>162</v>
      </c>
      <c r="H80" s="488">
        <f>ROUND(I80*1000000/(C80*3600),7)</f>
        <v>3.9999999999999998E-7</v>
      </c>
      <c r="I80" s="488">
        <f>ROUND(D80*E80/1000000,7)</f>
        <v>9.9999999999999995E-8</v>
      </c>
      <c r="J80" s="667"/>
      <c r="K80" s="667"/>
    </row>
    <row r="81" spans="1:11" ht="15" customHeight="1" x14ac:dyDescent="0.25">
      <c r="A81" s="996"/>
      <c r="B81" s="991"/>
      <c r="C81" s="991"/>
      <c r="D81" s="488">
        <v>3.8999999999999998E-3</v>
      </c>
      <c r="E81" s="991"/>
      <c r="F81" s="496" t="s">
        <v>171</v>
      </c>
      <c r="G81" s="497" t="s">
        <v>172</v>
      </c>
      <c r="H81" s="488">
        <f>ROUND(I81*1000000/(C80*3600),7)</f>
        <v>9.9999999999999995E-8</v>
      </c>
      <c r="I81" s="488">
        <f>ROUND(D81*E80/1000000,8)</f>
        <v>2.9999999999999997E-8</v>
      </c>
      <c r="J81" s="667">
        <f>SUM(H80:H81)</f>
        <v>4.9999999999999998E-7</v>
      </c>
      <c r="K81" s="667">
        <f>SUM(I80:I81)</f>
        <v>1.3E-7</v>
      </c>
    </row>
    <row r="82" spans="1:11" ht="15" customHeight="1" x14ac:dyDescent="0.25">
      <c r="A82" s="992" t="s">
        <v>115</v>
      </c>
      <c r="B82" s="992"/>
      <c r="C82" s="992"/>
      <c r="D82" s="992"/>
      <c r="E82" s="992"/>
      <c r="F82" s="992"/>
      <c r="G82" s="992"/>
      <c r="H82" s="992"/>
      <c r="I82" s="992"/>
      <c r="J82" s="667"/>
      <c r="K82" s="667"/>
    </row>
    <row r="83" spans="1:11" ht="15" customHeight="1" x14ac:dyDescent="0.25">
      <c r="A83" s="993" t="s">
        <v>113</v>
      </c>
      <c r="B83" s="994"/>
      <c r="C83" s="994"/>
      <c r="D83" s="994"/>
      <c r="E83" s="994"/>
      <c r="F83" s="994"/>
      <c r="G83" s="994"/>
      <c r="H83" s="994"/>
      <c r="I83" s="995"/>
      <c r="J83" s="667"/>
      <c r="K83" s="667"/>
    </row>
    <row r="84" spans="1:11" ht="15" customHeight="1" x14ac:dyDescent="0.25">
      <c r="A84" s="852">
        <v>800602</v>
      </c>
      <c r="B84" s="991" t="s">
        <v>173</v>
      </c>
      <c r="C84" s="991">
        <v>19</v>
      </c>
      <c r="D84" s="488">
        <v>8.9999999999999993E-3</v>
      </c>
      <c r="E84" s="991">
        <v>2</v>
      </c>
      <c r="F84" s="496" t="s">
        <v>170</v>
      </c>
      <c r="G84" s="497" t="s">
        <v>162</v>
      </c>
      <c r="H84" s="488">
        <f>ROUND(I84*1000000/(C84*3600),7)</f>
        <v>2.9999999999999999E-7</v>
      </c>
      <c r="I84" s="488">
        <f>ROUND(D84*E84/1000000,8)</f>
        <v>2E-8</v>
      </c>
      <c r="J84" s="667"/>
      <c r="K84" s="667"/>
    </row>
    <row r="85" spans="1:11" ht="15" customHeight="1" x14ac:dyDescent="0.25">
      <c r="A85" s="996"/>
      <c r="B85" s="991"/>
      <c r="C85" s="991"/>
      <c r="D85" s="488">
        <v>3.8999999999999998E-3</v>
      </c>
      <c r="E85" s="991"/>
      <c r="F85" s="496" t="s">
        <v>171</v>
      </c>
      <c r="G85" s="497" t="s">
        <v>172</v>
      </c>
      <c r="H85" s="488">
        <f>ROUND(I85*1000000/(C84*3600),7)</f>
        <v>9.9999999999999995E-8</v>
      </c>
      <c r="I85" s="488">
        <f>ROUND(D85*E84/1000000,8)</f>
        <v>1E-8</v>
      </c>
      <c r="J85" s="667">
        <f>SUM(H84:H85)</f>
        <v>3.9999999999999998E-7</v>
      </c>
      <c r="K85" s="667">
        <f>SUM(I84:I85)</f>
        <v>3.0000000000000004E-8</v>
      </c>
    </row>
    <row r="86" spans="1:11" ht="15" customHeight="1" x14ac:dyDescent="0.25">
      <c r="A86" s="992" t="s">
        <v>119</v>
      </c>
      <c r="B86" s="992"/>
      <c r="C86" s="992"/>
      <c r="D86" s="992"/>
      <c r="E86" s="992"/>
      <c r="F86" s="992"/>
      <c r="G86" s="992"/>
      <c r="H86" s="992"/>
      <c r="I86" s="992"/>
    </row>
    <row r="87" spans="1:11" ht="15" customHeight="1" x14ac:dyDescent="0.25">
      <c r="A87" s="993" t="s">
        <v>120</v>
      </c>
      <c r="B87" s="994"/>
      <c r="C87" s="994"/>
      <c r="D87" s="994"/>
      <c r="E87" s="994"/>
      <c r="F87" s="994"/>
      <c r="G87" s="994"/>
      <c r="H87" s="994"/>
      <c r="I87" s="995"/>
    </row>
    <row r="88" spans="1:11" ht="15" customHeight="1" x14ac:dyDescent="0.25">
      <c r="A88" s="852">
        <v>800602</v>
      </c>
      <c r="B88" s="991" t="s">
        <v>175</v>
      </c>
      <c r="C88" s="991">
        <v>1080</v>
      </c>
      <c r="D88" s="488">
        <v>8.9999999999999993E-3</v>
      </c>
      <c r="E88" s="991">
        <v>960</v>
      </c>
      <c r="F88" s="496" t="s">
        <v>170</v>
      </c>
      <c r="G88" s="497" t="s">
        <v>162</v>
      </c>
      <c r="H88" s="488">
        <f>ROUND(I88*1000000/(C88*3600),6)</f>
        <v>1.9999999999999999E-6</v>
      </c>
      <c r="I88" s="488">
        <f>ROUND(D88*E88/1000000,6)</f>
        <v>9.0000000000000002E-6</v>
      </c>
      <c r="J88" s="667"/>
      <c r="K88" s="667"/>
    </row>
    <row r="89" spans="1:11" ht="15" customHeight="1" x14ac:dyDescent="0.25">
      <c r="A89" s="996"/>
      <c r="B89" s="991"/>
      <c r="C89" s="991"/>
      <c r="D89" s="488">
        <v>3.8999999999999998E-3</v>
      </c>
      <c r="E89" s="991"/>
      <c r="F89" s="496" t="s">
        <v>171</v>
      </c>
      <c r="G89" s="497" t="s">
        <v>172</v>
      </c>
      <c r="H89" s="488">
        <f>ROUND(I89*1000000/(C88*3600),6)</f>
        <v>9.9999999999999995E-7</v>
      </c>
      <c r="I89" s="488">
        <f>ROUND(D89*E88/1000000,6)</f>
        <v>3.9999999999999998E-6</v>
      </c>
      <c r="J89" s="667">
        <f>SUM(H88:H89)</f>
        <v>3.0000000000000001E-6</v>
      </c>
      <c r="K89" s="667">
        <f>SUM(I88:I89)</f>
        <v>1.3000000000000001E-5</v>
      </c>
    </row>
    <row r="90" spans="1:11" ht="15" customHeight="1" x14ac:dyDescent="0.25">
      <c r="A90" s="985" t="s">
        <v>121</v>
      </c>
      <c r="B90" s="985"/>
      <c r="C90" s="985"/>
      <c r="D90" s="985"/>
      <c r="E90" s="985"/>
      <c r="F90" s="985"/>
      <c r="G90" s="985"/>
      <c r="H90" s="985"/>
      <c r="I90" s="985"/>
    </row>
    <row r="91" spans="1:11" ht="15" customHeight="1" x14ac:dyDescent="0.25">
      <c r="A91" s="988" t="s">
        <v>120</v>
      </c>
      <c r="B91" s="989"/>
      <c r="C91" s="989"/>
      <c r="D91" s="989"/>
      <c r="E91" s="989"/>
      <c r="F91" s="989"/>
      <c r="G91" s="989"/>
      <c r="H91" s="989"/>
      <c r="I91" s="990"/>
    </row>
    <row r="92" spans="1:11" ht="15" customHeight="1" x14ac:dyDescent="0.25">
      <c r="A92" s="986">
        <v>800602</v>
      </c>
      <c r="B92" s="980" t="s">
        <v>174</v>
      </c>
      <c r="C92" s="991">
        <v>68</v>
      </c>
      <c r="D92" s="76">
        <v>8.9999999999999993E-3</v>
      </c>
      <c r="E92" s="991">
        <v>6</v>
      </c>
      <c r="F92" s="490" t="s">
        <v>170</v>
      </c>
      <c r="G92" s="491" t="s">
        <v>162</v>
      </c>
      <c r="H92" s="76">
        <f>ROUND(I92*1000000/(C92*3600),7)</f>
        <v>3.9999999999999998E-7</v>
      </c>
      <c r="I92" s="76">
        <f>ROUND(D92*E92/1000000,7)</f>
        <v>9.9999999999999995E-8</v>
      </c>
      <c r="J92" s="667"/>
      <c r="K92" s="667"/>
    </row>
    <row r="93" spans="1:11" ht="15" customHeight="1" x14ac:dyDescent="0.25">
      <c r="A93" s="987"/>
      <c r="B93" s="980"/>
      <c r="C93" s="991"/>
      <c r="D93" s="76">
        <v>3.8999999999999998E-3</v>
      </c>
      <c r="E93" s="991"/>
      <c r="F93" s="490" t="s">
        <v>171</v>
      </c>
      <c r="G93" s="491" t="s">
        <v>172</v>
      </c>
      <c r="H93" s="76">
        <f>ROUND(I93*1000000/(C92*3600),7)</f>
        <v>9.9999999999999995E-8</v>
      </c>
      <c r="I93" s="76">
        <f>ROUND(D93*E92/1000000,8)</f>
        <v>2E-8</v>
      </c>
      <c r="J93" s="667">
        <f>SUM(H92:H93)</f>
        <v>4.9999999999999998E-7</v>
      </c>
      <c r="K93" s="667">
        <f>SUM(I92:I93)</f>
        <v>1.1999999999999999E-7</v>
      </c>
    </row>
    <row r="94" spans="1:11" ht="15" customHeight="1" x14ac:dyDescent="0.25">
      <c r="A94" s="985" t="s">
        <v>122</v>
      </c>
      <c r="B94" s="985"/>
      <c r="C94" s="985"/>
      <c r="D94" s="985"/>
      <c r="E94" s="985"/>
      <c r="F94" s="985"/>
      <c r="G94" s="985"/>
      <c r="H94" s="985"/>
      <c r="I94" s="985"/>
    </row>
    <row r="95" spans="1:11" ht="15" customHeight="1" x14ac:dyDescent="0.25">
      <c r="A95" s="988" t="s">
        <v>120</v>
      </c>
      <c r="B95" s="989"/>
      <c r="C95" s="989"/>
      <c r="D95" s="989"/>
      <c r="E95" s="989"/>
      <c r="F95" s="989"/>
      <c r="G95" s="989"/>
      <c r="H95" s="989"/>
      <c r="I95" s="990"/>
    </row>
    <row r="96" spans="1:11" x14ac:dyDescent="0.25">
      <c r="A96" s="986">
        <v>800602</v>
      </c>
      <c r="B96" s="980" t="s">
        <v>174</v>
      </c>
      <c r="C96" s="991">
        <v>28</v>
      </c>
      <c r="D96" s="76">
        <v>8.9999999999999993E-3</v>
      </c>
      <c r="E96" s="991">
        <v>2</v>
      </c>
      <c r="F96" s="490" t="s">
        <v>170</v>
      </c>
      <c r="G96" s="491" t="s">
        <v>162</v>
      </c>
      <c r="H96" s="76">
        <f>ROUND(I96*1000000/(C96*3600),7)</f>
        <v>1.9999999999999999E-7</v>
      </c>
      <c r="I96" s="76">
        <f>ROUND(D96*E96/1000000,8)</f>
        <v>2E-8</v>
      </c>
    </row>
    <row r="97" spans="1:11" x14ac:dyDescent="0.25">
      <c r="A97" s="987"/>
      <c r="B97" s="980"/>
      <c r="C97" s="991"/>
      <c r="D97" s="76">
        <v>3.8999999999999998E-3</v>
      </c>
      <c r="E97" s="991"/>
      <c r="F97" s="490" t="s">
        <v>171</v>
      </c>
      <c r="G97" s="491" t="s">
        <v>172</v>
      </c>
      <c r="H97" s="76">
        <f>ROUND(I97*1000000/(C96*3600),7)</f>
        <v>9.9999999999999995E-8</v>
      </c>
      <c r="I97" s="76">
        <f>ROUND(D97*E96/1000000,8)</f>
        <v>1E-8</v>
      </c>
      <c r="J97" s="667">
        <f>SUM(H96:H97)</f>
        <v>2.9999999999999999E-7</v>
      </c>
      <c r="K97" s="667">
        <f>SUM(I96:I97)</f>
        <v>3.0000000000000004E-8</v>
      </c>
    </row>
    <row r="99" spans="1:11" x14ac:dyDescent="0.25">
      <c r="C99" s="485">
        <f>C31+C39+C52+C60+C64+C72+C80+C84+C92+C96</f>
        <v>1112</v>
      </c>
      <c r="E99" s="485">
        <f>E31+E39+E52+E60+E64+E72+E80+E84+E92+E96</f>
        <v>100</v>
      </c>
    </row>
    <row r="101" spans="1:11" ht="18.75" x14ac:dyDescent="0.25">
      <c r="A101" s="500"/>
    </row>
    <row r="102" spans="1:11" ht="15.75" x14ac:dyDescent="0.25">
      <c r="A102" s="501"/>
    </row>
    <row r="103" spans="1:11" ht="15.75" x14ac:dyDescent="0.25">
      <c r="A103" s="501"/>
    </row>
    <row r="104" spans="1:11" ht="15.75" x14ac:dyDescent="0.25">
      <c r="A104" s="501"/>
    </row>
    <row r="105" spans="1:11" ht="18.75" x14ac:dyDescent="0.25">
      <c r="B105" s="502"/>
    </row>
    <row r="106" spans="1:11" ht="18.75" x14ac:dyDescent="0.25">
      <c r="A106" s="503"/>
    </row>
    <row r="107" spans="1:11" ht="18.75" x14ac:dyDescent="0.25">
      <c r="A107" s="502"/>
    </row>
  </sheetData>
  <mergeCells count="125">
    <mergeCell ref="A1:I1"/>
    <mergeCell ref="A10:I10"/>
    <mergeCell ref="A12:I12"/>
    <mergeCell ref="A16:I16"/>
    <mergeCell ref="A15:I15"/>
    <mergeCell ref="A4:I4"/>
    <mergeCell ref="A3:N3"/>
    <mergeCell ref="A6:J6"/>
    <mergeCell ref="A35:E36"/>
    <mergeCell ref="A30:I30"/>
    <mergeCell ref="A27:I27"/>
    <mergeCell ref="A17:I17"/>
    <mergeCell ref="A20:I20"/>
    <mergeCell ref="A8:J8"/>
    <mergeCell ref="H21:I22"/>
    <mergeCell ref="A19:I19"/>
    <mergeCell ref="A28:A29"/>
    <mergeCell ref="B28:B29"/>
    <mergeCell ref="C28:C29"/>
    <mergeCell ref="E28:E29"/>
    <mergeCell ref="G21:G23"/>
    <mergeCell ref="A26:I26"/>
    <mergeCell ref="A21:A23"/>
    <mergeCell ref="B21:B23"/>
    <mergeCell ref="A37:I37"/>
    <mergeCell ref="B31:B32"/>
    <mergeCell ref="C31:C32"/>
    <mergeCell ref="E31:E32"/>
    <mergeCell ref="B33:B34"/>
    <mergeCell ref="C33:C34"/>
    <mergeCell ref="E33:E34"/>
    <mergeCell ref="A80:A81"/>
    <mergeCell ref="B80:B81"/>
    <mergeCell ref="C80:C81"/>
    <mergeCell ref="E80:E81"/>
    <mergeCell ref="A64:A67"/>
    <mergeCell ref="A70:I70"/>
    <mergeCell ref="A71:I71"/>
    <mergeCell ref="A72:A73"/>
    <mergeCell ref="B72:B73"/>
    <mergeCell ref="C72:C73"/>
    <mergeCell ref="E72:E73"/>
    <mergeCell ref="A31:A34"/>
    <mergeCell ref="A38:I38"/>
    <mergeCell ref="B39:B40"/>
    <mergeCell ref="C39:C40"/>
    <mergeCell ref="E39:E40"/>
    <mergeCell ref="A39:A40"/>
    <mergeCell ref="A86:I86"/>
    <mergeCell ref="A87:I87"/>
    <mergeCell ref="B48:B49"/>
    <mergeCell ref="C48:C49"/>
    <mergeCell ref="E48:E49"/>
    <mergeCell ref="A50:I50"/>
    <mergeCell ref="C54:C55"/>
    <mergeCell ref="E54:E55"/>
    <mergeCell ref="A52:A55"/>
    <mergeCell ref="A51:I51"/>
    <mergeCell ref="A63:I63"/>
    <mergeCell ref="B54:B55"/>
    <mergeCell ref="A58:I58"/>
    <mergeCell ref="A59:I59"/>
    <mergeCell ref="B60:B61"/>
    <mergeCell ref="C60:C61"/>
    <mergeCell ref="E60:E61"/>
    <mergeCell ref="A60:A61"/>
    <mergeCell ref="B52:B53"/>
    <mergeCell ref="C21:C23"/>
    <mergeCell ref="D21:D23"/>
    <mergeCell ref="E21:E23"/>
    <mergeCell ref="F21:F23"/>
    <mergeCell ref="A25:I25"/>
    <mergeCell ref="A79:I79"/>
    <mergeCell ref="A75:I75"/>
    <mergeCell ref="C52:C53"/>
    <mergeCell ref="E52:E53"/>
    <mergeCell ref="A62:I62"/>
    <mergeCell ref="B76:B77"/>
    <mergeCell ref="C76:C77"/>
    <mergeCell ref="E76:E77"/>
    <mergeCell ref="A76:A77"/>
    <mergeCell ref="A68:E69"/>
    <mergeCell ref="A74:I74"/>
    <mergeCell ref="B66:B67"/>
    <mergeCell ref="B64:B65"/>
    <mergeCell ref="C64:C65"/>
    <mergeCell ref="E64:E65"/>
    <mergeCell ref="A56:E57"/>
    <mergeCell ref="A78:I78"/>
    <mergeCell ref="C66:C67"/>
    <mergeCell ref="E66:E67"/>
    <mergeCell ref="A41:I41"/>
    <mergeCell ref="A42:A43"/>
    <mergeCell ref="B42:B43"/>
    <mergeCell ref="C42:C43"/>
    <mergeCell ref="E42:E43"/>
    <mergeCell ref="A44:I44"/>
    <mergeCell ref="A45:A46"/>
    <mergeCell ref="B45:B46"/>
    <mergeCell ref="C45:C46"/>
    <mergeCell ref="E45:E46"/>
    <mergeCell ref="A47:I47"/>
    <mergeCell ref="A48:A49"/>
    <mergeCell ref="A94:I94"/>
    <mergeCell ref="A95:I95"/>
    <mergeCell ref="A96:A97"/>
    <mergeCell ref="B96:B97"/>
    <mergeCell ref="C96:C97"/>
    <mergeCell ref="E96:E97"/>
    <mergeCell ref="A82:I82"/>
    <mergeCell ref="A83:I83"/>
    <mergeCell ref="A84:A85"/>
    <mergeCell ref="B84:B85"/>
    <mergeCell ref="C84:C85"/>
    <mergeCell ref="E84:E85"/>
    <mergeCell ref="A91:I91"/>
    <mergeCell ref="A92:A93"/>
    <mergeCell ref="B92:B93"/>
    <mergeCell ref="C92:C93"/>
    <mergeCell ref="E92:E93"/>
    <mergeCell ref="A90:I90"/>
    <mergeCell ref="A88:A89"/>
    <mergeCell ref="B88:B89"/>
    <mergeCell ref="C88:C89"/>
    <mergeCell ref="E88:E89"/>
  </mergeCells>
  <pageMargins left="0.31496062992125984" right="0.31496062992125984" top="0.78740157480314965" bottom="0.39370078740157483" header="0.31496062992125984" footer="0.19685039370078741"/>
  <pageSetup paperSize="9" firstPageNumber="185" orientation="landscape" useFirstPageNumber="1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5543-DFE8-4C1C-A78D-C36DE64DEA27}">
  <sheetPr>
    <tabColor theme="0"/>
  </sheetPr>
  <dimension ref="A1:Q254"/>
  <sheetViews>
    <sheetView view="pageBreakPreview" topLeftCell="A233" zoomScaleNormal="100" zoomScaleSheetLayoutView="100" workbookViewId="0">
      <selection activeCell="A245" sqref="A245:N245"/>
    </sheetView>
  </sheetViews>
  <sheetFormatPr defaultRowHeight="12.75" x14ac:dyDescent="0.2"/>
  <cols>
    <col min="1" max="1" width="6.28515625" style="419" customWidth="1"/>
    <col min="2" max="2" width="12.7109375" style="419" customWidth="1"/>
    <col min="3" max="3" width="11.85546875" style="419" customWidth="1"/>
    <col min="4" max="4" width="9.5703125" style="419" customWidth="1"/>
    <col min="5" max="5" width="5.7109375" style="419" customWidth="1"/>
    <col min="6" max="6" width="11" style="573" customWidth="1"/>
    <col min="7" max="7" width="10.28515625" style="573" customWidth="1"/>
    <col min="8" max="8" width="8" style="573" customWidth="1"/>
    <col min="9" max="9" width="9" style="573" customWidth="1"/>
    <col min="10" max="10" width="9.85546875" style="573" customWidth="1"/>
    <col min="11" max="11" width="17.42578125" style="573" customWidth="1"/>
    <col min="12" max="12" width="6.28515625" style="419" customWidth="1"/>
    <col min="13" max="13" width="10.85546875" style="419" customWidth="1"/>
    <col min="14" max="14" width="12" style="419" customWidth="1"/>
    <col min="15" max="15" width="10.42578125" style="419" bestFit="1" customWidth="1"/>
    <col min="16" max="16" width="10.5703125" style="419" customWidth="1"/>
    <col min="17" max="17" width="11.28515625" style="419" bestFit="1" customWidth="1"/>
    <col min="18" max="16384" width="9.140625" style="419"/>
  </cols>
  <sheetData>
    <row r="1" spans="1:14" s="91" customFormat="1" ht="18.75" x14ac:dyDescent="0.3">
      <c r="A1" s="1025" t="s">
        <v>642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289"/>
    </row>
    <row r="2" spans="1:14" s="91" customFormat="1" x14ac:dyDescent="0.2">
      <c r="A2" s="546"/>
      <c r="B2" s="546"/>
      <c r="C2" s="546"/>
      <c r="D2" s="546"/>
      <c r="E2" s="546"/>
      <c r="F2" s="547"/>
      <c r="G2" s="547"/>
      <c r="H2" s="547"/>
      <c r="I2" s="547"/>
      <c r="J2" s="547"/>
      <c r="K2" s="547"/>
      <c r="L2" s="289"/>
      <c r="M2" s="289"/>
      <c r="N2" s="289"/>
    </row>
    <row r="3" spans="1:14" s="134" customFormat="1" ht="15.75" x14ac:dyDescent="0.25">
      <c r="A3" s="155" t="s">
        <v>619</v>
      </c>
      <c r="B3" s="155"/>
      <c r="C3" s="155"/>
      <c r="D3" s="155"/>
      <c r="E3" s="155"/>
      <c r="F3" s="675"/>
      <c r="G3" s="675"/>
      <c r="H3" s="675"/>
      <c r="I3" s="675"/>
      <c r="J3" s="675"/>
      <c r="K3" s="675"/>
      <c r="L3" s="155"/>
      <c r="M3" s="155"/>
      <c r="N3" s="155"/>
    </row>
    <row r="4" spans="1:14" s="134" customFormat="1" ht="15.75" x14ac:dyDescent="0.25">
      <c r="A4" s="741" t="s">
        <v>620</v>
      </c>
      <c r="B4" s="741"/>
      <c r="C4" s="741"/>
      <c r="D4" s="741"/>
      <c r="E4" s="741"/>
      <c r="F4" s="741"/>
      <c r="G4" s="741"/>
      <c r="H4" s="741"/>
      <c r="I4" s="741"/>
      <c r="J4" s="741"/>
      <c r="K4" s="741"/>
      <c r="L4" s="741"/>
      <c r="M4" s="741"/>
      <c r="N4" s="741"/>
    </row>
    <row r="5" spans="1:14" s="91" customFormat="1" x14ac:dyDescent="0.2">
      <c r="A5" s="548"/>
      <c r="B5" s="548"/>
      <c r="C5" s="548"/>
      <c r="D5" s="548"/>
      <c r="E5" s="548"/>
      <c r="F5" s="549"/>
      <c r="G5" s="549"/>
      <c r="H5" s="549"/>
      <c r="I5" s="549"/>
      <c r="J5" s="549"/>
      <c r="K5" s="549"/>
      <c r="L5" s="548"/>
      <c r="M5" s="548"/>
      <c r="N5" s="548"/>
    </row>
    <row r="6" spans="1:14" s="134" customFormat="1" ht="15.75" x14ac:dyDescent="0.25">
      <c r="A6" s="738" t="s">
        <v>621</v>
      </c>
      <c r="B6" s="738"/>
      <c r="C6" s="738"/>
      <c r="D6" s="738"/>
      <c r="E6" s="738"/>
      <c r="F6" s="738"/>
      <c r="G6" s="738"/>
      <c r="H6" s="738"/>
      <c r="I6" s="738"/>
      <c r="J6" s="738"/>
      <c r="K6" s="179"/>
    </row>
    <row r="7" spans="1:14" s="134" customFormat="1" ht="8.25" customHeight="1" x14ac:dyDescent="0.25">
      <c r="A7" s="128"/>
      <c r="B7" s="128"/>
      <c r="C7" s="128"/>
      <c r="D7" s="128"/>
      <c r="E7" s="128"/>
      <c r="F7" s="676"/>
      <c r="G7" s="676"/>
      <c r="H7" s="676"/>
      <c r="I7" s="676"/>
      <c r="J7" s="676"/>
      <c r="K7" s="179"/>
    </row>
    <row r="8" spans="1:14" s="134" customFormat="1" ht="15.75" x14ac:dyDescent="0.25">
      <c r="A8" s="751" t="s">
        <v>622</v>
      </c>
      <c r="B8" s="751"/>
      <c r="C8" s="751"/>
      <c r="D8" s="751"/>
      <c r="E8" s="751"/>
      <c r="F8" s="751"/>
      <c r="G8" s="751"/>
      <c r="H8" s="751"/>
      <c r="I8" s="751"/>
      <c r="J8" s="751"/>
      <c r="K8" s="179"/>
    </row>
    <row r="9" spans="1:14" s="134" customFormat="1" ht="9.75" customHeight="1" x14ac:dyDescent="0.25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79"/>
    </row>
    <row r="10" spans="1:14" s="134" customFormat="1" ht="15.75" x14ac:dyDescent="0.25">
      <c r="A10" s="751" t="s">
        <v>623</v>
      </c>
      <c r="B10" s="751"/>
      <c r="C10" s="751"/>
      <c r="D10" s="751"/>
      <c r="E10" s="751"/>
      <c r="F10" s="751"/>
      <c r="G10" s="751"/>
      <c r="H10" s="751"/>
      <c r="I10" s="751"/>
      <c r="J10" s="751"/>
      <c r="K10" s="179"/>
    </row>
    <row r="11" spans="1:14" s="134" customFormat="1" ht="15.75" x14ac:dyDescent="0.25">
      <c r="A11" s="128" t="s">
        <v>653</v>
      </c>
      <c r="B11" s="128"/>
      <c r="C11" s="128"/>
      <c r="D11" s="128"/>
      <c r="E11" s="128"/>
      <c r="F11" s="676"/>
      <c r="G11" s="676"/>
      <c r="H11" s="676"/>
      <c r="I11" s="676"/>
      <c r="J11" s="676"/>
      <c r="K11" s="179"/>
    </row>
    <row r="12" spans="1:14" s="134" customFormat="1" ht="31.5" customHeight="1" x14ac:dyDescent="0.25">
      <c r="A12" s="741" t="s">
        <v>654</v>
      </c>
      <c r="B12" s="741"/>
      <c r="C12" s="741"/>
      <c r="D12" s="741"/>
      <c r="E12" s="741"/>
      <c r="F12" s="741"/>
      <c r="G12" s="741"/>
      <c r="H12" s="741"/>
      <c r="I12" s="741"/>
      <c r="J12" s="741"/>
      <c r="K12" s="741"/>
      <c r="L12" s="741"/>
      <c r="M12" s="741"/>
      <c r="N12" s="741"/>
    </row>
    <row r="13" spans="1:14" s="134" customFormat="1" ht="12.75" customHeight="1" x14ac:dyDescent="0.25">
      <c r="A13" s="738" t="s">
        <v>624</v>
      </c>
      <c r="B13" s="738"/>
      <c r="C13" s="738"/>
      <c r="D13" s="738"/>
      <c r="E13" s="738"/>
      <c r="F13" s="738"/>
      <c r="G13" s="738"/>
      <c r="H13" s="738"/>
      <c r="I13" s="738"/>
      <c r="J13" s="738"/>
      <c r="K13" s="179"/>
    </row>
    <row r="14" spans="1:14" s="134" customFormat="1" ht="13.5" customHeight="1" x14ac:dyDescent="0.25">
      <c r="A14" s="738" t="s">
        <v>656</v>
      </c>
      <c r="B14" s="738"/>
      <c r="C14" s="738"/>
      <c r="D14" s="738"/>
      <c r="E14" s="738"/>
      <c r="F14" s="738"/>
      <c r="G14" s="738"/>
      <c r="H14" s="738"/>
      <c r="I14" s="738"/>
      <c r="J14" s="738"/>
      <c r="K14" s="179"/>
    </row>
    <row r="15" spans="1:14" s="134" customFormat="1" ht="13.5" customHeight="1" x14ac:dyDescent="0.25">
      <c r="A15" s="738" t="s">
        <v>625</v>
      </c>
      <c r="B15" s="738"/>
      <c r="C15" s="738"/>
      <c r="D15" s="738"/>
      <c r="E15" s="738"/>
      <c r="F15" s="738"/>
      <c r="G15" s="738"/>
      <c r="H15" s="738"/>
      <c r="I15" s="738"/>
      <c r="J15" s="738"/>
      <c r="K15" s="179"/>
    </row>
    <row r="16" spans="1:14" s="677" customFormat="1" ht="13.5" customHeight="1" x14ac:dyDescent="0.35">
      <c r="A16" s="677" t="s">
        <v>652</v>
      </c>
      <c r="C16" s="678"/>
      <c r="D16" s="678"/>
      <c r="E16" s="678"/>
      <c r="F16" s="679"/>
      <c r="G16" s="179"/>
      <c r="H16" s="179"/>
      <c r="I16" s="179"/>
      <c r="J16" s="179"/>
      <c r="K16" s="179"/>
    </row>
    <row r="17" spans="1:17" s="677" customFormat="1" ht="13.5" customHeight="1" x14ac:dyDescent="0.25">
      <c r="C17" s="678"/>
      <c r="D17" s="678"/>
      <c r="E17" s="678"/>
      <c r="F17" s="679"/>
      <c r="G17" s="179"/>
      <c r="H17" s="179"/>
      <c r="I17" s="179"/>
      <c r="J17" s="179"/>
      <c r="K17" s="179"/>
    </row>
    <row r="18" spans="1:17" s="486" customFormat="1" ht="20.25" customHeight="1" x14ac:dyDescent="0.3">
      <c r="A18" s="926" t="s">
        <v>655</v>
      </c>
      <c r="B18" s="926"/>
      <c r="C18" s="926"/>
      <c r="D18" s="926"/>
      <c r="E18" s="926"/>
      <c r="F18" s="926"/>
      <c r="G18" s="926"/>
      <c r="H18" s="926"/>
      <c r="I18" s="926"/>
      <c r="J18" s="926"/>
      <c r="K18" s="926"/>
      <c r="L18" s="926"/>
      <c r="M18" s="926"/>
      <c r="N18" s="926"/>
    </row>
    <row r="19" spans="1:17" s="351" customFormat="1" ht="6" customHeight="1" x14ac:dyDescent="0.2">
      <c r="C19" s="551"/>
      <c r="D19" s="551"/>
      <c r="E19" s="551"/>
      <c r="F19" s="552"/>
      <c r="G19" s="550"/>
      <c r="H19" s="550"/>
      <c r="I19" s="550"/>
      <c r="J19" s="550"/>
      <c r="K19" s="550"/>
    </row>
    <row r="20" spans="1:17" s="677" customFormat="1" ht="15.75" x14ac:dyDescent="0.25">
      <c r="A20" s="677" t="s">
        <v>643</v>
      </c>
      <c r="C20" s="678"/>
      <c r="D20" s="678"/>
      <c r="E20" s="678"/>
      <c r="F20" s="679"/>
      <c r="G20" s="179"/>
      <c r="H20" s="179"/>
      <c r="I20" s="179"/>
      <c r="J20" s="179"/>
      <c r="K20" s="179"/>
    </row>
    <row r="21" spans="1:17" s="554" customFormat="1" ht="17.25" customHeight="1" x14ac:dyDescent="0.25">
      <c r="A21" s="774" t="s">
        <v>469</v>
      </c>
      <c r="B21" s="774" t="s">
        <v>626</v>
      </c>
      <c r="C21" s="774" t="s">
        <v>627</v>
      </c>
      <c r="D21" s="774" t="s">
        <v>628</v>
      </c>
      <c r="E21" s="1024" t="s">
        <v>629</v>
      </c>
      <c r="F21" s="854"/>
      <c r="G21" s="855" t="s">
        <v>630</v>
      </c>
      <c r="H21" s="855" t="s">
        <v>631</v>
      </c>
      <c r="I21" s="1028" t="s">
        <v>632</v>
      </c>
      <c r="J21" s="1029"/>
      <c r="K21" s="553" t="s">
        <v>244</v>
      </c>
      <c r="L21" s="774" t="s">
        <v>49</v>
      </c>
      <c r="M21" s="1024" t="s">
        <v>633</v>
      </c>
      <c r="N21" s="854"/>
    </row>
    <row r="22" spans="1:17" s="554" customFormat="1" ht="38.25" customHeight="1" x14ac:dyDescent="0.25">
      <c r="A22" s="1026"/>
      <c r="B22" s="1026"/>
      <c r="C22" s="1026"/>
      <c r="D22" s="1026"/>
      <c r="E22" s="311" t="s">
        <v>634</v>
      </c>
      <c r="F22" s="553" t="s">
        <v>635</v>
      </c>
      <c r="G22" s="1027"/>
      <c r="H22" s="1027"/>
      <c r="I22" s="553" t="s">
        <v>636</v>
      </c>
      <c r="J22" s="553" t="s">
        <v>637</v>
      </c>
      <c r="K22" s="555"/>
      <c r="L22" s="1026"/>
      <c r="M22" s="311" t="s">
        <v>194</v>
      </c>
      <c r="N22" s="311" t="s">
        <v>195</v>
      </c>
      <c r="O22" s="574"/>
    </row>
    <row r="23" spans="1:17" s="554" customFormat="1" ht="15" customHeight="1" x14ac:dyDescent="0.2">
      <c r="A23" s="28">
        <v>1</v>
      </c>
      <c r="B23" s="28">
        <v>2</v>
      </c>
      <c r="C23" s="28">
        <v>3</v>
      </c>
      <c r="D23" s="28">
        <v>4</v>
      </c>
      <c r="E23" s="28">
        <v>5</v>
      </c>
      <c r="F23" s="488">
        <v>6</v>
      </c>
      <c r="G23" s="488">
        <v>7</v>
      </c>
      <c r="H23" s="488">
        <v>8</v>
      </c>
      <c r="I23" s="488">
        <v>9</v>
      </c>
      <c r="J23" s="488">
        <v>10</v>
      </c>
      <c r="K23" s="488">
        <v>11</v>
      </c>
      <c r="L23" s="28">
        <v>12</v>
      </c>
      <c r="M23" s="28">
        <v>13</v>
      </c>
      <c r="N23" s="28">
        <v>14</v>
      </c>
      <c r="O23" s="575"/>
    </row>
    <row r="24" spans="1:17" s="138" customFormat="1" ht="15" customHeight="1" x14ac:dyDescent="0.2">
      <c r="A24" s="1021" t="s">
        <v>16</v>
      </c>
      <c r="B24" s="1022"/>
      <c r="C24" s="1022"/>
      <c r="D24" s="1022"/>
      <c r="E24" s="1022"/>
      <c r="F24" s="1022"/>
      <c r="G24" s="1022"/>
      <c r="H24" s="1022"/>
      <c r="I24" s="1022"/>
      <c r="J24" s="1022"/>
      <c r="K24" s="1022"/>
      <c r="L24" s="1022"/>
      <c r="M24" s="1022"/>
      <c r="N24" s="1023"/>
      <c r="O24" s="575"/>
      <c r="P24" s="554"/>
      <c r="Q24" s="554"/>
    </row>
    <row r="25" spans="1:17" s="554" customFormat="1" ht="15" customHeight="1" x14ac:dyDescent="0.2">
      <c r="A25" s="557" t="s">
        <v>544</v>
      </c>
      <c r="B25" s="1020" t="s">
        <v>251</v>
      </c>
      <c r="C25" s="523" t="s">
        <v>245</v>
      </c>
      <c r="D25" s="523" t="s">
        <v>188</v>
      </c>
      <c r="E25" s="523">
        <v>1</v>
      </c>
      <c r="F25" s="523">
        <v>1</v>
      </c>
      <c r="G25" s="523">
        <v>30</v>
      </c>
      <c r="H25" s="523">
        <v>0.87</v>
      </c>
      <c r="I25" s="558">
        <v>7.2</v>
      </c>
      <c r="J25" s="558">
        <v>30</v>
      </c>
      <c r="K25" s="559" t="s">
        <v>170</v>
      </c>
      <c r="L25" s="560" t="s">
        <v>162</v>
      </c>
      <c r="M25" s="556">
        <f>ROUND((F25*(I25*G25/3600)),4)</f>
        <v>0.06</v>
      </c>
      <c r="N25" s="556">
        <f>ROUND((E25*(J25*H25/1000)),4)</f>
        <v>2.6100000000000002E-2</v>
      </c>
      <c r="O25" s="575"/>
    </row>
    <row r="26" spans="1:17" s="91" customFormat="1" ht="15" customHeight="1" x14ac:dyDescent="0.2">
      <c r="A26" s="345"/>
      <c r="B26" s="1020"/>
      <c r="C26" s="561"/>
      <c r="D26" s="561"/>
      <c r="E26" s="561"/>
      <c r="F26" s="562"/>
      <c r="G26" s="562"/>
      <c r="H26" s="562"/>
      <c r="I26" s="562">
        <v>10.3</v>
      </c>
      <c r="J26" s="562">
        <v>43</v>
      </c>
      <c r="K26" s="563" t="s">
        <v>200</v>
      </c>
      <c r="L26" s="564" t="s">
        <v>153</v>
      </c>
      <c r="M26" s="319">
        <f>ROUND(((F25*(I26*G25/3600))*0.8),4)</f>
        <v>6.8699999999999997E-2</v>
      </c>
      <c r="N26" s="319">
        <f>ROUND(((E25*(J26*H25/1000))*0.8),4)</f>
        <v>2.9899999999999999E-2</v>
      </c>
      <c r="O26" s="575"/>
      <c r="Q26" s="289"/>
    </row>
    <row r="27" spans="1:17" s="91" customFormat="1" ht="15" customHeight="1" x14ac:dyDescent="0.2">
      <c r="A27" s="561"/>
      <c r="B27" s="1020"/>
      <c r="C27" s="561"/>
      <c r="D27" s="561"/>
      <c r="E27" s="561"/>
      <c r="F27" s="562"/>
      <c r="G27" s="562"/>
      <c r="H27" s="562"/>
      <c r="I27" s="562"/>
      <c r="J27" s="562"/>
      <c r="K27" s="563" t="s">
        <v>201</v>
      </c>
      <c r="L27" s="564" t="s">
        <v>202</v>
      </c>
      <c r="M27" s="319">
        <f>ROUND(((F25*(I26*G25/3600))*0.13),4)</f>
        <v>1.12E-2</v>
      </c>
      <c r="N27" s="319">
        <f>ROUND(((E25*(J26*H25/1000))*0.13),4)</f>
        <v>4.8999999999999998E-3</v>
      </c>
      <c r="O27" s="575"/>
    </row>
    <row r="28" spans="1:17" s="91" customFormat="1" ht="15" customHeight="1" x14ac:dyDescent="0.2">
      <c r="A28" s="561"/>
      <c r="B28" s="561"/>
      <c r="C28" s="561"/>
      <c r="D28" s="561"/>
      <c r="E28" s="561"/>
      <c r="F28" s="562"/>
      <c r="G28" s="562"/>
      <c r="H28" s="562"/>
      <c r="I28" s="321">
        <v>3.6</v>
      </c>
      <c r="J28" s="321">
        <v>15</v>
      </c>
      <c r="K28" s="565" t="s">
        <v>247</v>
      </c>
      <c r="L28" s="566">
        <v>2754</v>
      </c>
      <c r="M28" s="319">
        <f>ROUND((F25*(I28*G25/3600)),4)</f>
        <v>0.03</v>
      </c>
      <c r="N28" s="319">
        <f>ROUND(((E25*(J28*H25/1000))),4)</f>
        <v>1.3100000000000001E-2</v>
      </c>
      <c r="O28" s="575"/>
    </row>
    <row r="29" spans="1:17" s="91" customFormat="1" ht="15" customHeight="1" x14ac:dyDescent="0.2">
      <c r="A29" s="561"/>
      <c r="B29" s="561"/>
      <c r="C29" s="561"/>
      <c r="D29" s="561"/>
      <c r="E29" s="561"/>
      <c r="F29" s="562"/>
      <c r="G29" s="562"/>
      <c r="H29" s="562"/>
      <c r="I29" s="321">
        <v>0.7</v>
      </c>
      <c r="J29" s="321">
        <v>3</v>
      </c>
      <c r="K29" s="567" t="s">
        <v>638</v>
      </c>
      <c r="L29" s="566" t="s">
        <v>208</v>
      </c>
      <c r="M29" s="319">
        <f>ROUND((F25*(I29*G25/3600)),4)</f>
        <v>5.7999999999999996E-3</v>
      </c>
      <c r="N29" s="319">
        <f>ROUND(((E25*(J29*H25/1000))),4)</f>
        <v>2.5999999999999999E-3</v>
      </c>
      <c r="O29" s="575"/>
    </row>
    <row r="30" spans="1:17" s="91" customFormat="1" ht="15" customHeight="1" x14ac:dyDescent="0.2">
      <c r="A30" s="561"/>
      <c r="B30" s="561"/>
      <c r="C30" s="561"/>
      <c r="D30" s="561"/>
      <c r="E30" s="561"/>
      <c r="F30" s="562"/>
      <c r="G30" s="562"/>
      <c r="H30" s="562"/>
      <c r="I30" s="321">
        <v>1.1000000000000001</v>
      </c>
      <c r="J30" s="321">
        <v>4.5</v>
      </c>
      <c r="K30" s="567" t="s">
        <v>246</v>
      </c>
      <c r="L30" s="566" t="s">
        <v>204</v>
      </c>
      <c r="M30" s="319">
        <f>ROUND((F25*(I30*G25/3600)),4)</f>
        <v>9.1999999999999998E-3</v>
      </c>
      <c r="N30" s="319">
        <f>ROUND(((E25*(J30*H25/1000))),4)</f>
        <v>3.8999999999999998E-3</v>
      </c>
    </row>
    <row r="31" spans="1:17" s="91" customFormat="1" ht="15" customHeight="1" x14ac:dyDescent="0.2">
      <c r="A31" s="561"/>
      <c r="B31" s="561"/>
      <c r="C31" s="561"/>
      <c r="D31" s="561"/>
      <c r="E31" s="561"/>
      <c r="F31" s="562"/>
      <c r="G31" s="562"/>
      <c r="H31" s="562"/>
      <c r="I31" s="568">
        <v>0.15</v>
      </c>
      <c r="J31" s="568">
        <v>0.6</v>
      </c>
      <c r="K31" s="567" t="s">
        <v>248</v>
      </c>
      <c r="L31" s="566" t="s">
        <v>249</v>
      </c>
      <c r="M31" s="319">
        <f>ROUND((F25*(I31*G25/3600)),4)</f>
        <v>1.2999999999999999E-3</v>
      </c>
      <c r="N31" s="319">
        <f>ROUND(((E25*(J31*H25/1000))),5)</f>
        <v>5.1999999999999995E-4</v>
      </c>
    </row>
    <row r="32" spans="1:17" s="91" customFormat="1" ht="15" customHeight="1" x14ac:dyDescent="0.2">
      <c r="A32" s="569"/>
      <c r="B32" s="569"/>
      <c r="C32" s="569"/>
      <c r="D32" s="570"/>
      <c r="E32" s="569"/>
      <c r="F32" s="571"/>
      <c r="G32" s="571"/>
      <c r="H32" s="571"/>
      <c r="I32" s="321">
        <v>1.2999999999999999E-5</v>
      </c>
      <c r="J32" s="321">
        <v>5.5000000000000002E-5</v>
      </c>
      <c r="K32" s="567" t="s">
        <v>639</v>
      </c>
      <c r="L32" s="566" t="s">
        <v>640</v>
      </c>
      <c r="M32" s="319">
        <f>ROUND((F25*(I32*G25/3600)),7)</f>
        <v>9.9999999999999995E-8</v>
      </c>
      <c r="N32" s="319">
        <f>ROUND(((E25*(J32*H25/1000))),8)</f>
        <v>4.9999999999999998E-8</v>
      </c>
      <c r="O32" s="91">
        <f>SUM(M25:M32)</f>
        <v>0.18620009999999995</v>
      </c>
      <c r="P32" s="91">
        <f>SUM(N25:N32)</f>
        <v>8.1020050000000024E-2</v>
      </c>
    </row>
    <row r="33" spans="1:17" s="554" customFormat="1" ht="15" customHeight="1" x14ac:dyDescent="0.2">
      <c r="A33" s="572" t="s">
        <v>545</v>
      </c>
      <c r="B33" s="862" t="s">
        <v>641</v>
      </c>
      <c r="C33" s="523" t="s">
        <v>245</v>
      </c>
      <c r="D33" s="523" t="s">
        <v>188</v>
      </c>
      <c r="E33" s="523">
        <v>1</v>
      </c>
      <c r="F33" s="523">
        <v>1</v>
      </c>
      <c r="G33" s="523">
        <v>50</v>
      </c>
      <c r="H33" s="344">
        <v>1.45</v>
      </c>
      <c r="I33" s="488">
        <v>7.2</v>
      </c>
      <c r="J33" s="488">
        <v>30</v>
      </c>
      <c r="K33" s="559" t="s">
        <v>170</v>
      </c>
      <c r="L33" s="33" t="s">
        <v>162</v>
      </c>
      <c r="M33" s="28">
        <f>ROUND((F33*(I33*G33/3600)),4)</f>
        <v>0.1</v>
      </c>
      <c r="N33" s="28">
        <f>ROUND((E33*(J33*H33/1000)),4)</f>
        <v>4.3499999999999997E-2</v>
      </c>
    </row>
    <row r="34" spans="1:17" s="91" customFormat="1" ht="15" customHeight="1" x14ac:dyDescent="0.2">
      <c r="A34" s="345"/>
      <c r="B34" s="1020"/>
      <c r="C34" s="561"/>
      <c r="D34" s="561"/>
      <c r="E34" s="561"/>
      <c r="F34" s="562"/>
      <c r="G34" s="562"/>
      <c r="H34" s="562"/>
      <c r="I34" s="562">
        <v>10.3</v>
      </c>
      <c r="J34" s="562">
        <v>43</v>
      </c>
      <c r="K34" s="563" t="s">
        <v>200</v>
      </c>
      <c r="L34" s="564" t="s">
        <v>153</v>
      </c>
      <c r="M34" s="319">
        <f>ROUND(((F33*(I34*G33/3600))*0.8),4)</f>
        <v>0.1144</v>
      </c>
      <c r="N34" s="319">
        <f>ROUND(((E33*(J34*H33/1000))*0.8),4)</f>
        <v>4.99E-2</v>
      </c>
      <c r="Q34" s="289"/>
    </row>
    <row r="35" spans="1:17" s="91" customFormat="1" ht="15" customHeight="1" x14ac:dyDescent="0.2">
      <c r="A35" s="561"/>
      <c r="B35" s="1020"/>
      <c r="C35" s="561"/>
      <c r="D35" s="561"/>
      <c r="E35" s="561"/>
      <c r="F35" s="562"/>
      <c r="G35" s="562"/>
      <c r="H35" s="562"/>
      <c r="I35" s="562"/>
      <c r="J35" s="562"/>
      <c r="K35" s="563" t="s">
        <v>201</v>
      </c>
      <c r="L35" s="564" t="s">
        <v>202</v>
      </c>
      <c r="M35" s="319">
        <f>ROUND(((F33*(I34*G33/3600))*0.13),4)</f>
        <v>1.8599999999999998E-2</v>
      </c>
      <c r="N35" s="319">
        <f>ROUND(((E33*(J34*H33/1000))*0.13),4)</f>
        <v>8.0999999999999996E-3</v>
      </c>
    </row>
    <row r="36" spans="1:17" s="91" customFormat="1" ht="15" customHeight="1" x14ac:dyDescent="0.2">
      <c r="A36" s="561"/>
      <c r="B36" s="561"/>
      <c r="C36" s="561"/>
      <c r="D36" s="561"/>
      <c r="E36" s="561"/>
      <c r="F36" s="562"/>
      <c r="G36" s="562"/>
      <c r="H36" s="562"/>
      <c r="I36" s="321">
        <v>3.6</v>
      </c>
      <c r="J36" s="321">
        <v>15</v>
      </c>
      <c r="K36" s="565" t="s">
        <v>247</v>
      </c>
      <c r="L36" s="566">
        <v>2754</v>
      </c>
      <c r="M36" s="319">
        <f>ROUND((F33*(I36*G33/3600)),4)</f>
        <v>0.05</v>
      </c>
      <c r="N36" s="319">
        <f>ROUND(((E33*(J36*H33/1000))),4)</f>
        <v>2.18E-2</v>
      </c>
    </row>
    <row r="37" spans="1:17" s="91" customFormat="1" ht="15" customHeight="1" x14ac:dyDescent="0.2">
      <c r="A37" s="561"/>
      <c r="B37" s="561"/>
      <c r="C37" s="561"/>
      <c r="D37" s="561"/>
      <c r="E37" s="561"/>
      <c r="F37" s="562"/>
      <c r="G37" s="562"/>
      <c r="H37" s="562"/>
      <c r="I37" s="321">
        <v>0.7</v>
      </c>
      <c r="J37" s="321">
        <v>3</v>
      </c>
      <c r="K37" s="567" t="s">
        <v>638</v>
      </c>
      <c r="L37" s="566" t="s">
        <v>208</v>
      </c>
      <c r="M37" s="319">
        <f>ROUND((F33*(I37*G33/3600)),4)</f>
        <v>9.7000000000000003E-3</v>
      </c>
      <c r="N37" s="319">
        <f>ROUND(((E33*(J37*H33/1000))),4)</f>
        <v>4.4000000000000003E-3</v>
      </c>
    </row>
    <row r="38" spans="1:17" s="91" customFormat="1" ht="15" customHeight="1" x14ac:dyDescent="0.2">
      <c r="A38" s="561"/>
      <c r="B38" s="561"/>
      <c r="C38" s="561"/>
      <c r="D38" s="561"/>
      <c r="E38" s="561"/>
      <c r="F38" s="562"/>
      <c r="G38" s="562"/>
      <c r="H38" s="562"/>
      <c r="I38" s="321">
        <v>1.1000000000000001</v>
      </c>
      <c r="J38" s="321">
        <v>4.5</v>
      </c>
      <c r="K38" s="567" t="s">
        <v>246</v>
      </c>
      <c r="L38" s="566" t="s">
        <v>204</v>
      </c>
      <c r="M38" s="319">
        <f>ROUND((F33*(I38*G33/3600)),4)</f>
        <v>1.5299999999999999E-2</v>
      </c>
      <c r="N38" s="319">
        <f>ROUND(((E33*(J38*H33/1000))),4)</f>
        <v>6.4999999999999997E-3</v>
      </c>
    </row>
    <row r="39" spans="1:17" s="91" customFormat="1" ht="15" customHeight="1" x14ac:dyDescent="0.2">
      <c r="A39" s="561"/>
      <c r="B39" s="561"/>
      <c r="C39" s="561"/>
      <c r="D39" s="561"/>
      <c r="E39" s="561"/>
      <c r="F39" s="562"/>
      <c r="G39" s="562"/>
      <c r="H39" s="562"/>
      <c r="I39" s="568">
        <v>0.15</v>
      </c>
      <c r="J39" s="568">
        <v>0.6</v>
      </c>
      <c r="K39" s="567" t="s">
        <v>248</v>
      </c>
      <c r="L39" s="566" t="s">
        <v>249</v>
      </c>
      <c r="M39" s="319">
        <f>ROUND((F33*(I39*G33/3600)),4)</f>
        <v>2.0999999999999999E-3</v>
      </c>
      <c r="N39" s="319">
        <f>ROUND(((E33*(J39*H33/1000))),5)</f>
        <v>8.7000000000000001E-4</v>
      </c>
    </row>
    <row r="40" spans="1:17" s="91" customFormat="1" ht="15" customHeight="1" x14ac:dyDescent="0.2">
      <c r="A40" s="569"/>
      <c r="B40" s="569"/>
      <c r="C40" s="569"/>
      <c r="D40" s="570"/>
      <c r="E40" s="569"/>
      <c r="F40" s="571"/>
      <c r="G40" s="571"/>
      <c r="H40" s="571"/>
      <c r="I40" s="321">
        <v>1.2999999999999999E-5</v>
      </c>
      <c r="J40" s="321">
        <v>5.5000000000000002E-5</v>
      </c>
      <c r="K40" s="567" t="s">
        <v>639</v>
      </c>
      <c r="L40" s="566" t="s">
        <v>640</v>
      </c>
      <c r="M40" s="319">
        <f>ROUND((F33*(I40*G33/3600)),7)</f>
        <v>1.9999999999999999E-7</v>
      </c>
      <c r="N40" s="319">
        <f>ROUND(((E33*(J40*H33/1000))),9)</f>
        <v>8.0000000000000002E-8</v>
      </c>
      <c r="O40" s="91">
        <f>SUM(M33:M40)</f>
        <v>0.31010019999999999</v>
      </c>
      <c r="P40" s="91">
        <f>SUM(N33:N40)</f>
        <v>0.13507008000000001</v>
      </c>
    </row>
    <row r="41" spans="1:17" s="138" customFormat="1" ht="15" customHeight="1" x14ac:dyDescent="0.2">
      <c r="A41" s="1021" t="s">
        <v>97</v>
      </c>
      <c r="B41" s="1022"/>
      <c r="C41" s="1022"/>
      <c r="D41" s="1022"/>
      <c r="E41" s="1022"/>
      <c r="F41" s="1022"/>
      <c r="G41" s="1022"/>
      <c r="H41" s="1022"/>
      <c r="I41" s="1022"/>
      <c r="J41" s="1022"/>
      <c r="K41" s="1022"/>
      <c r="L41" s="1022"/>
      <c r="M41" s="1022"/>
      <c r="N41" s="1023"/>
      <c r="O41" s="672">
        <f>SUM(O32:O40)</f>
        <v>0.49630029999999992</v>
      </c>
      <c r="P41" s="673">
        <f>SUM(P32:P40)</f>
        <v>0.21609013000000005</v>
      </c>
      <c r="Q41" s="674">
        <v>2026</v>
      </c>
    </row>
    <row r="42" spans="1:17" s="554" customFormat="1" ht="15" customHeight="1" x14ac:dyDescent="0.2">
      <c r="A42" s="557" t="s">
        <v>544</v>
      </c>
      <c r="B42" s="1020" t="s">
        <v>251</v>
      </c>
      <c r="C42" s="523" t="s">
        <v>245</v>
      </c>
      <c r="D42" s="523" t="s">
        <v>188</v>
      </c>
      <c r="E42" s="523">
        <v>1</v>
      </c>
      <c r="F42" s="523">
        <v>1</v>
      </c>
      <c r="G42" s="523">
        <v>30</v>
      </c>
      <c r="H42" s="523">
        <v>1.4948999999999999</v>
      </c>
      <c r="I42" s="558">
        <v>7.2</v>
      </c>
      <c r="J42" s="558">
        <v>30</v>
      </c>
      <c r="K42" s="559" t="s">
        <v>170</v>
      </c>
      <c r="L42" s="560" t="s">
        <v>162</v>
      </c>
      <c r="M42" s="556">
        <f>ROUND((F42*(I42*G42/3600)),4)</f>
        <v>0.06</v>
      </c>
      <c r="N42" s="556">
        <f>ROUND((E42*(J42*H42/1000)),4)</f>
        <v>4.48E-2</v>
      </c>
      <c r="O42" s="575"/>
    </row>
    <row r="43" spans="1:17" s="91" customFormat="1" ht="15" customHeight="1" x14ac:dyDescent="0.2">
      <c r="A43" s="345"/>
      <c r="B43" s="1020"/>
      <c r="C43" s="561"/>
      <c r="D43" s="561"/>
      <c r="E43" s="561"/>
      <c r="F43" s="562"/>
      <c r="G43" s="562"/>
      <c r="H43" s="562"/>
      <c r="I43" s="562">
        <v>10.3</v>
      </c>
      <c r="J43" s="562">
        <v>43</v>
      </c>
      <c r="K43" s="563" t="s">
        <v>200</v>
      </c>
      <c r="L43" s="564" t="s">
        <v>153</v>
      </c>
      <c r="M43" s="319">
        <f>ROUND(((F42*(I43*G42/3600))*0.8),4)</f>
        <v>6.8699999999999997E-2</v>
      </c>
      <c r="N43" s="319">
        <f>ROUND(((E42*(J43*H42/1000))*0.8),4)</f>
        <v>5.1400000000000001E-2</v>
      </c>
      <c r="O43" s="575"/>
      <c r="Q43" s="289"/>
    </row>
    <row r="44" spans="1:17" s="91" customFormat="1" ht="15" customHeight="1" x14ac:dyDescent="0.2">
      <c r="A44" s="561"/>
      <c r="B44" s="1020"/>
      <c r="C44" s="561"/>
      <c r="D44" s="561"/>
      <c r="E44" s="561"/>
      <c r="F44" s="562"/>
      <c r="G44" s="562"/>
      <c r="H44" s="562"/>
      <c r="I44" s="562"/>
      <c r="J44" s="562"/>
      <c r="K44" s="563" t="s">
        <v>201</v>
      </c>
      <c r="L44" s="564" t="s">
        <v>202</v>
      </c>
      <c r="M44" s="319">
        <f>ROUND(((F42*(I43*G42/3600))*0.13),4)</f>
        <v>1.12E-2</v>
      </c>
      <c r="N44" s="319">
        <f>ROUND(((E42*(J43*H42/1000))*0.13),4)</f>
        <v>8.3999999999999995E-3</v>
      </c>
      <c r="O44" s="575"/>
    </row>
    <row r="45" spans="1:17" s="91" customFormat="1" ht="15" customHeight="1" x14ac:dyDescent="0.2">
      <c r="A45" s="561"/>
      <c r="B45" s="561"/>
      <c r="C45" s="561"/>
      <c r="D45" s="561"/>
      <c r="E45" s="561"/>
      <c r="F45" s="562"/>
      <c r="G45" s="562"/>
      <c r="H45" s="562"/>
      <c r="I45" s="321">
        <v>3.6</v>
      </c>
      <c r="J45" s="321">
        <v>15</v>
      </c>
      <c r="K45" s="565" t="s">
        <v>247</v>
      </c>
      <c r="L45" s="566">
        <v>2754</v>
      </c>
      <c r="M45" s="319">
        <f>ROUND((F42*(I45*G42/3600)),4)</f>
        <v>0.03</v>
      </c>
      <c r="N45" s="319">
        <f>ROUND(((E42*(J45*H42/1000))),4)</f>
        <v>2.24E-2</v>
      </c>
      <c r="O45" s="575"/>
    </row>
    <row r="46" spans="1:17" s="91" customFormat="1" ht="15" customHeight="1" x14ac:dyDescent="0.2">
      <c r="A46" s="561"/>
      <c r="B46" s="561"/>
      <c r="C46" s="561"/>
      <c r="D46" s="561"/>
      <c r="E46" s="561"/>
      <c r="F46" s="562"/>
      <c r="G46" s="562"/>
      <c r="H46" s="562"/>
      <c r="I46" s="321">
        <v>0.7</v>
      </c>
      <c r="J46" s="321">
        <v>3</v>
      </c>
      <c r="K46" s="567" t="s">
        <v>638</v>
      </c>
      <c r="L46" s="566" t="s">
        <v>208</v>
      </c>
      <c r="M46" s="319">
        <f>ROUND((F42*(I46*G42/3600)),4)</f>
        <v>5.7999999999999996E-3</v>
      </c>
      <c r="N46" s="319">
        <f>ROUND(((E42*(J46*H42/1000))),4)</f>
        <v>4.4999999999999997E-3</v>
      </c>
      <c r="O46" s="575"/>
    </row>
    <row r="47" spans="1:17" s="91" customFormat="1" ht="15" customHeight="1" x14ac:dyDescent="0.2">
      <c r="A47" s="561"/>
      <c r="B47" s="561"/>
      <c r="C47" s="561"/>
      <c r="D47" s="561"/>
      <c r="E47" s="561"/>
      <c r="F47" s="562"/>
      <c r="G47" s="562"/>
      <c r="H47" s="562"/>
      <c r="I47" s="321">
        <v>1.1000000000000001</v>
      </c>
      <c r="J47" s="321">
        <v>4.5</v>
      </c>
      <c r="K47" s="567" t="s">
        <v>246</v>
      </c>
      <c r="L47" s="566" t="s">
        <v>204</v>
      </c>
      <c r="M47" s="319">
        <f>ROUND((F42*(I47*G42/3600)),4)</f>
        <v>9.1999999999999998E-3</v>
      </c>
      <c r="N47" s="319">
        <f>ROUND(((E42*(J47*H42/1000))),4)</f>
        <v>6.7000000000000002E-3</v>
      </c>
    </row>
    <row r="48" spans="1:17" s="91" customFormat="1" ht="15" customHeight="1" x14ac:dyDescent="0.2">
      <c r="A48" s="561"/>
      <c r="B48" s="561"/>
      <c r="C48" s="561"/>
      <c r="D48" s="561"/>
      <c r="E48" s="561"/>
      <c r="F48" s="562"/>
      <c r="G48" s="562"/>
      <c r="H48" s="562"/>
      <c r="I48" s="568">
        <v>0.15</v>
      </c>
      <c r="J48" s="568">
        <v>0.6</v>
      </c>
      <c r="K48" s="567" t="s">
        <v>248</v>
      </c>
      <c r="L48" s="566" t="s">
        <v>249</v>
      </c>
      <c r="M48" s="319">
        <f>ROUND((F42*(I48*G42/3600)),4)</f>
        <v>1.2999999999999999E-3</v>
      </c>
      <c r="N48" s="319">
        <f>ROUND(((E42*(J48*H42/1000))),5)</f>
        <v>8.9999999999999998E-4</v>
      </c>
    </row>
    <row r="49" spans="1:17" s="91" customFormat="1" ht="15" customHeight="1" x14ac:dyDescent="0.2">
      <c r="A49" s="569"/>
      <c r="B49" s="569"/>
      <c r="C49" s="569"/>
      <c r="D49" s="570"/>
      <c r="E49" s="569"/>
      <c r="F49" s="571"/>
      <c r="G49" s="571"/>
      <c r="H49" s="571"/>
      <c r="I49" s="321">
        <v>1.2999999999999999E-5</v>
      </c>
      <c r="J49" s="321">
        <v>5.5000000000000002E-5</v>
      </c>
      <c r="K49" s="567" t="s">
        <v>639</v>
      </c>
      <c r="L49" s="566" t="s">
        <v>640</v>
      </c>
      <c r="M49" s="319">
        <f>ROUND((F42*(I49*G42/3600)),7)</f>
        <v>9.9999999999999995E-8</v>
      </c>
      <c r="N49" s="319">
        <f>ROUND(((E42*(J49*H42/1000))),7)</f>
        <v>9.9999999999999995E-8</v>
      </c>
      <c r="O49" s="91">
        <f>SUM(M42:M49)</f>
        <v>0.18620009999999995</v>
      </c>
      <c r="P49" s="91">
        <f>SUM(N42:N49)</f>
        <v>0.13910010000000003</v>
      </c>
    </row>
    <row r="50" spans="1:17" s="554" customFormat="1" ht="15" customHeight="1" x14ac:dyDescent="0.2">
      <c r="A50" s="572" t="s">
        <v>545</v>
      </c>
      <c r="B50" s="862" t="s">
        <v>641</v>
      </c>
      <c r="C50" s="523" t="s">
        <v>245</v>
      </c>
      <c r="D50" s="523" t="s">
        <v>188</v>
      </c>
      <c r="E50" s="523">
        <v>1</v>
      </c>
      <c r="F50" s="523">
        <v>1</v>
      </c>
      <c r="G50" s="523">
        <v>50</v>
      </c>
      <c r="H50" s="344">
        <v>2.4916</v>
      </c>
      <c r="I50" s="488">
        <v>7.2</v>
      </c>
      <c r="J50" s="488">
        <v>30</v>
      </c>
      <c r="K50" s="559" t="s">
        <v>170</v>
      </c>
      <c r="L50" s="33" t="s">
        <v>162</v>
      </c>
      <c r="M50" s="28">
        <f>ROUND((F50*(I50*G50/3600)),4)</f>
        <v>0.1</v>
      </c>
      <c r="N50" s="28">
        <f>ROUND((E50*(J50*H50/1000)),4)</f>
        <v>7.4700000000000003E-2</v>
      </c>
    </row>
    <row r="51" spans="1:17" s="91" customFormat="1" ht="15" customHeight="1" x14ac:dyDescent="0.2">
      <c r="A51" s="345"/>
      <c r="B51" s="1020"/>
      <c r="C51" s="561"/>
      <c r="D51" s="561"/>
      <c r="E51" s="561"/>
      <c r="F51" s="562"/>
      <c r="G51" s="562"/>
      <c r="H51" s="562"/>
      <c r="I51" s="562">
        <v>10.3</v>
      </c>
      <c r="J51" s="562">
        <v>43</v>
      </c>
      <c r="K51" s="563" t="s">
        <v>200</v>
      </c>
      <c r="L51" s="564" t="s">
        <v>153</v>
      </c>
      <c r="M51" s="319">
        <f>ROUND(((F50*(I51*G50/3600))*0.8),4)</f>
        <v>0.1144</v>
      </c>
      <c r="N51" s="319">
        <f>ROUND(((E50*(J51*H50/1000))*0.8),4)</f>
        <v>8.5699999999999998E-2</v>
      </c>
      <c r="Q51" s="289"/>
    </row>
    <row r="52" spans="1:17" s="91" customFormat="1" ht="15" customHeight="1" x14ac:dyDescent="0.2">
      <c r="A52" s="561"/>
      <c r="B52" s="1020"/>
      <c r="C52" s="561"/>
      <c r="D52" s="561"/>
      <c r="E52" s="561"/>
      <c r="F52" s="562"/>
      <c r="G52" s="562"/>
      <c r="H52" s="562"/>
      <c r="I52" s="562"/>
      <c r="J52" s="562"/>
      <c r="K52" s="563" t="s">
        <v>201</v>
      </c>
      <c r="L52" s="564" t="s">
        <v>202</v>
      </c>
      <c r="M52" s="319">
        <f>ROUND(((F50*(I51*G50/3600))*0.13),4)</f>
        <v>1.8599999999999998E-2</v>
      </c>
      <c r="N52" s="319">
        <f>ROUND(((E50*(J51*H50/1000))*0.13),4)</f>
        <v>1.3899999999999999E-2</v>
      </c>
    </row>
    <row r="53" spans="1:17" s="91" customFormat="1" ht="15" customHeight="1" x14ac:dyDescent="0.2">
      <c r="A53" s="561"/>
      <c r="B53" s="561"/>
      <c r="C53" s="561"/>
      <c r="D53" s="561"/>
      <c r="E53" s="561"/>
      <c r="F53" s="562"/>
      <c r="G53" s="562"/>
      <c r="H53" s="562"/>
      <c r="I53" s="321">
        <v>3.6</v>
      </c>
      <c r="J53" s="321">
        <v>15</v>
      </c>
      <c r="K53" s="565" t="s">
        <v>247</v>
      </c>
      <c r="L53" s="566">
        <v>2754</v>
      </c>
      <c r="M53" s="319">
        <f>ROUND((F50*(I53*G50/3600)),4)</f>
        <v>0.05</v>
      </c>
      <c r="N53" s="319">
        <f>ROUND(((E50*(J53*H50/1000))),4)</f>
        <v>3.7400000000000003E-2</v>
      </c>
    </row>
    <row r="54" spans="1:17" s="91" customFormat="1" ht="15" customHeight="1" x14ac:dyDescent="0.2">
      <c r="A54" s="561"/>
      <c r="B54" s="561"/>
      <c r="C54" s="561"/>
      <c r="D54" s="561"/>
      <c r="E54" s="561"/>
      <c r="F54" s="562"/>
      <c r="G54" s="562"/>
      <c r="H54" s="562"/>
      <c r="I54" s="321">
        <v>0.7</v>
      </c>
      <c r="J54" s="321">
        <v>3</v>
      </c>
      <c r="K54" s="567" t="s">
        <v>638</v>
      </c>
      <c r="L54" s="566" t="s">
        <v>208</v>
      </c>
      <c r="M54" s="319">
        <f>ROUND((F50*(I54*G50/3600)),4)</f>
        <v>9.7000000000000003E-3</v>
      </c>
      <c r="N54" s="319">
        <f>ROUND(((E50*(J54*H50/1000))),4)</f>
        <v>7.4999999999999997E-3</v>
      </c>
    </row>
    <row r="55" spans="1:17" s="91" customFormat="1" ht="15" customHeight="1" x14ac:dyDescent="0.2">
      <c r="A55" s="561"/>
      <c r="B55" s="561"/>
      <c r="C55" s="561"/>
      <c r="D55" s="561"/>
      <c r="E55" s="561"/>
      <c r="F55" s="562"/>
      <c r="G55" s="562"/>
      <c r="H55" s="562"/>
      <c r="I55" s="321">
        <v>1.1000000000000001</v>
      </c>
      <c r="J55" s="321">
        <v>4.5</v>
      </c>
      <c r="K55" s="567" t="s">
        <v>246</v>
      </c>
      <c r="L55" s="566" t="s">
        <v>204</v>
      </c>
      <c r="M55" s="319">
        <f>ROUND((F50*(I55*G50/3600)),4)</f>
        <v>1.5299999999999999E-2</v>
      </c>
      <c r="N55" s="319">
        <f>ROUND(((E50*(J55*H50/1000))),4)</f>
        <v>1.12E-2</v>
      </c>
    </row>
    <row r="56" spans="1:17" s="91" customFormat="1" ht="15" customHeight="1" x14ac:dyDescent="0.2">
      <c r="A56" s="561"/>
      <c r="B56" s="561"/>
      <c r="C56" s="561"/>
      <c r="D56" s="561"/>
      <c r="E56" s="561"/>
      <c r="F56" s="562"/>
      <c r="G56" s="562"/>
      <c r="H56" s="562"/>
      <c r="I56" s="568">
        <v>0.15</v>
      </c>
      <c r="J56" s="568">
        <v>0.6</v>
      </c>
      <c r="K56" s="567" t="s">
        <v>248</v>
      </c>
      <c r="L56" s="566" t="s">
        <v>249</v>
      </c>
      <c r="M56" s="319">
        <f>ROUND((F50*(I56*G50/3600)),4)</f>
        <v>2.0999999999999999E-3</v>
      </c>
      <c r="N56" s="319">
        <f>ROUND(((E50*(J56*H50/1000))),5)</f>
        <v>1.49E-3</v>
      </c>
    </row>
    <row r="57" spans="1:17" s="91" customFormat="1" ht="15" customHeight="1" x14ac:dyDescent="0.2">
      <c r="A57" s="569"/>
      <c r="B57" s="569"/>
      <c r="C57" s="569"/>
      <c r="D57" s="570"/>
      <c r="E57" s="569"/>
      <c r="F57" s="571"/>
      <c r="G57" s="571"/>
      <c r="H57" s="571"/>
      <c r="I57" s="321">
        <v>1.2999999999999999E-5</v>
      </c>
      <c r="J57" s="321">
        <v>5.5000000000000002E-5</v>
      </c>
      <c r="K57" s="567" t="s">
        <v>639</v>
      </c>
      <c r="L57" s="566" t="s">
        <v>640</v>
      </c>
      <c r="M57" s="319">
        <f>ROUND((F50*(I57*G50/3600)),7)</f>
        <v>1.9999999999999999E-7</v>
      </c>
      <c r="N57" s="319">
        <f>ROUND(((E50*(J57*H50/1000))),9)</f>
        <v>1.37E-7</v>
      </c>
      <c r="O57" s="91">
        <f>SUM(M50:M57)</f>
        <v>0.31010019999999999</v>
      </c>
      <c r="P57" s="91">
        <f>SUM(N50:N57)</f>
        <v>0.231890137</v>
      </c>
    </row>
    <row r="58" spans="1:17" s="138" customFormat="1" ht="15" customHeight="1" x14ac:dyDescent="0.2">
      <c r="A58" s="1021" t="s">
        <v>98</v>
      </c>
      <c r="B58" s="1022"/>
      <c r="C58" s="1022"/>
      <c r="D58" s="1022"/>
      <c r="E58" s="1022"/>
      <c r="F58" s="1022"/>
      <c r="G58" s="1022"/>
      <c r="H58" s="1022"/>
      <c r="I58" s="1022"/>
      <c r="J58" s="1022"/>
      <c r="K58" s="1022"/>
      <c r="L58" s="1022"/>
      <c r="M58" s="1022"/>
      <c r="N58" s="1023"/>
      <c r="O58" s="672">
        <f>SUM(O49:O57)</f>
        <v>0.49630029999999992</v>
      </c>
      <c r="P58" s="673">
        <f>SUM(P49:P57)</f>
        <v>0.370990237</v>
      </c>
      <c r="Q58" s="674">
        <v>2027</v>
      </c>
    </row>
    <row r="59" spans="1:17" s="554" customFormat="1" ht="15" customHeight="1" x14ac:dyDescent="0.2">
      <c r="A59" s="557" t="s">
        <v>544</v>
      </c>
      <c r="B59" s="1020" t="s">
        <v>251</v>
      </c>
      <c r="C59" s="523" t="s">
        <v>245</v>
      </c>
      <c r="D59" s="523" t="s">
        <v>188</v>
      </c>
      <c r="E59" s="523">
        <v>1</v>
      </c>
      <c r="F59" s="523">
        <v>1</v>
      </c>
      <c r="G59" s="523">
        <v>30</v>
      </c>
      <c r="H59" s="523">
        <v>0.62</v>
      </c>
      <c r="I59" s="558">
        <v>7.2</v>
      </c>
      <c r="J59" s="558">
        <v>30</v>
      </c>
      <c r="K59" s="559" t="s">
        <v>170</v>
      </c>
      <c r="L59" s="560" t="s">
        <v>162</v>
      </c>
      <c r="M59" s="556">
        <f>ROUND((F59*(I59*G59/3600)),4)</f>
        <v>0.06</v>
      </c>
      <c r="N59" s="556">
        <f>ROUND((E59*(J59*H59/1000)),4)</f>
        <v>1.8599999999999998E-2</v>
      </c>
      <c r="O59" s="575"/>
    </row>
    <row r="60" spans="1:17" s="91" customFormat="1" ht="15" customHeight="1" x14ac:dyDescent="0.2">
      <c r="A60" s="345"/>
      <c r="B60" s="1020"/>
      <c r="C60" s="561"/>
      <c r="D60" s="561"/>
      <c r="E60" s="561"/>
      <c r="F60" s="562"/>
      <c r="G60" s="562"/>
      <c r="H60" s="562"/>
      <c r="I60" s="562">
        <v>10.3</v>
      </c>
      <c r="J60" s="562">
        <v>43</v>
      </c>
      <c r="K60" s="563" t="s">
        <v>200</v>
      </c>
      <c r="L60" s="564" t="s">
        <v>153</v>
      </c>
      <c r="M60" s="319">
        <f>ROUND(((F59*(I60*G59/3600))*0.8),4)</f>
        <v>6.8699999999999997E-2</v>
      </c>
      <c r="N60" s="319">
        <f>ROUND(((E59*(J60*H59/1000))*0.8),4)</f>
        <v>2.1299999999999999E-2</v>
      </c>
      <c r="O60" s="575"/>
      <c r="Q60" s="289"/>
    </row>
    <row r="61" spans="1:17" s="91" customFormat="1" ht="15" customHeight="1" x14ac:dyDescent="0.2">
      <c r="A61" s="561"/>
      <c r="B61" s="1020"/>
      <c r="C61" s="561"/>
      <c r="D61" s="561"/>
      <c r="E61" s="561"/>
      <c r="F61" s="562"/>
      <c r="G61" s="562"/>
      <c r="H61" s="562"/>
      <c r="I61" s="562"/>
      <c r="J61" s="562"/>
      <c r="K61" s="563" t="s">
        <v>201</v>
      </c>
      <c r="L61" s="564" t="s">
        <v>202</v>
      </c>
      <c r="M61" s="319">
        <f>ROUND(((F59*(I60*G59/3600))*0.13),4)</f>
        <v>1.12E-2</v>
      </c>
      <c r="N61" s="319">
        <f>ROUND(((E59*(J60*H59/1000))*0.13),4)</f>
        <v>3.5000000000000001E-3</v>
      </c>
      <c r="O61" s="575"/>
    </row>
    <row r="62" spans="1:17" s="91" customFormat="1" ht="15" customHeight="1" x14ac:dyDescent="0.2">
      <c r="A62" s="561"/>
      <c r="B62" s="561"/>
      <c r="C62" s="561"/>
      <c r="D62" s="561"/>
      <c r="E62" s="561"/>
      <c r="F62" s="562"/>
      <c r="G62" s="562"/>
      <c r="H62" s="562"/>
      <c r="I62" s="321">
        <v>3.6</v>
      </c>
      <c r="J62" s="321">
        <v>15</v>
      </c>
      <c r="K62" s="565" t="s">
        <v>247</v>
      </c>
      <c r="L62" s="566">
        <v>2754</v>
      </c>
      <c r="M62" s="319">
        <f>ROUND((F59*(I62*G59/3600)),4)</f>
        <v>0.03</v>
      </c>
      <c r="N62" s="319">
        <f>ROUND(((E59*(J62*H59/1000))),4)</f>
        <v>9.2999999999999992E-3</v>
      </c>
      <c r="O62" s="575"/>
    </row>
    <row r="63" spans="1:17" s="91" customFormat="1" ht="15" customHeight="1" x14ac:dyDescent="0.2">
      <c r="A63" s="561"/>
      <c r="B63" s="561"/>
      <c r="C63" s="561"/>
      <c r="D63" s="561"/>
      <c r="E63" s="561"/>
      <c r="F63" s="562"/>
      <c r="G63" s="562"/>
      <c r="H63" s="562"/>
      <c r="I63" s="321">
        <v>0.7</v>
      </c>
      <c r="J63" s="321">
        <v>3</v>
      </c>
      <c r="K63" s="567" t="s">
        <v>638</v>
      </c>
      <c r="L63" s="566" t="s">
        <v>208</v>
      </c>
      <c r="M63" s="319">
        <f>ROUND((F59*(I63*G59/3600)),4)</f>
        <v>5.7999999999999996E-3</v>
      </c>
      <c r="N63" s="319">
        <f>ROUND(((E59*(J63*H59/1000))),4)</f>
        <v>1.9E-3</v>
      </c>
      <c r="O63" s="575"/>
    </row>
    <row r="64" spans="1:17" s="91" customFormat="1" ht="15" customHeight="1" x14ac:dyDescent="0.2">
      <c r="A64" s="561"/>
      <c r="B64" s="561"/>
      <c r="C64" s="561"/>
      <c r="D64" s="561"/>
      <c r="E64" s="561"/>
      <c r="F64" s="562"/>
      <c r="G64" s="562"/>
      <c r="H64" s="562"/>
      <c r="I64" s="321">
        <v>1.1000000000000001</v>
      </c>
      <c r="J64" s="321">
        <v>4.5</v>
      </c>
      <c r="K64" s="567" t="s">
        <v>246</v>
      </c>
      <c r="L64" s="566" t="s">
        <v>204</v>
      </c>
      <c r="M64" s="319">
        <f>ROUND((F59*(I64*G59/3600)),4)</f>
        <v>9.1999999999999998E-3</v>
      </c>
      <c r="N64" s="319">
        <f>ROUND(((E59*(J64*H59/1000))),4)</f>
        <v>2.8E-3</v>
      </c>
    </row>
    <row r="65" spans="1:17" s="91" customFormat="1" ht="15" customHeight="1" x14ac:dyDescent="0.2">
      <c r="A65" s="561"/>
      <c r="B65" s="561"/>
      <c r="C65" s="561"/>
      <c r="D65" s="561"/>
      <c r="E65" s="561"/>
      <c r="F65" s="562"/>
      <c r="G65" s="562"/>
      <c r="H65" s="562"/>
      <c r="I65" s="568">
        <v>0.15</v>
      </c>
      <c r="J65" s="568">
        <v>0.6</v>
      </c>
      <c r="K65" s="567" t="s">
        <v>248</v>
      </c>
      <c r="L65" s="566" t="s">
        <v>249</v>
      </c>
      <c r="M65" s="319">
        <f>ROUND((F59*(I65*G59/3600)),4)</f>
        <v>1.2999999999999999E-3</v>
      </c>
      <c r="N65" s="319">
        <f>ROUND(((E59*(J65*H59/1000))),5)</f>
        <v>3.6999999999999999E-4</v>
      </c>
    </row>
    <row r="66" spans="1:17" s="91" customFormat="1" ht="15" customHeight="1" x14ac:dyDescent="0.2">
      <c r="A66" s="569"/>
      <c r="B66" s="569"/>
      <c r="C66" s="569"/>
      <c r="D66" s="570"/>
      <c r="E66" s="569"/>
      <c r="F66" s="571"/>
      <c r="G66" s="571"/>
      <c r="H66" s="571"/>
      <c r="I66" s="321">
        <v>1.2999999999999999E-5</v>
      </c>
      <c r="J66" s="321">
        <v>5.5000000000000002E-5</v>
      </c>
      <c r="K66" s="567" t="s">
        <v>639</v>
      </c>
      <c r="L66" s="566" t="s">
        <v>640</v>
      </c>
      <c r="M66" s="319">
        <f>ROUND((F59*(I66*G59/3600)),7)</f>
        <v>9.9999999999999995E-8</v>
      </c>
      <c r="N66" s="319">
        <f>ROUND(((E59*(J66*H59/1000))),8)</f>
        <v>2.9999999999999997E-8</v>
      </c>
      <c r="O66" s="91">
        <f>SUM(M59:M66)</f>
        <v>0.18620009999999995</v>
      </c>
      <c r="P66" s="91">
        <f>SUM(N59:N66)</f>
        <v>5.7770029999999993E-2</v>
      </c>
    </row>
    <row r="67" spans="1:17" s="554" customFormat="1" ht="15" customHeight="1" x14ac:dyDescent="0.2">
      <c r="A67" s="572" t="s">
        <v>545</v>
      </c>
      <c r="B67" s="862" t="s">
        <v>641</v>
      </c>
      <c r="C67" s="523" t="s">
        <v>245</v>
      </c>
      <c r="D67" s="523" t="s">
        <v>188</v>
      </c>
      <c r="E67" s="523">
        <v>1</v>
      </c>
      <c r="F67" s="523">
        <v>1</v>
      </c>
      <c r="G67" s="523">
        <v>50</v>
      </c>
      <c r="H67" s="344">
        <v>1.0382</v>
      </c>
      <c r="I67" s="488">
        <v>7.2</v>
      </c>
      <c r="J67" s="488">
        <v>30</v>
      </c>
      <c r="K67" s="559" t="s">
        <v>170</v>
      </c>
      <c r="L67" s="33" t="s">
        <v>162</v>
      </c>
      <c r="M67" s="28">
        <f>ROUND((F67*(I67*G67/3600)),4)</f>
        <v>0.1</v>
      </c>
      <c r="N67" s="28">
        <f>ROUND((E67*(J67*H67/1000)),4)</f>
        <v>3.1099999999999999E-2</v>
      </c>
    </row>
    <row r="68" spans="1:17" s="91" customFormat="1" ht="15" customHeight="1" x14ac:dyDescent="0.2">
      <c r="A68" s="345"/>
      <c r="B68" s="1020"/>
      <c r="C68" s="561"/>
      <c r="D68" s="561"/>
      <c r="E68" s="561"/>
      <c r="F68" s="562"/>
      <c r="G68" s="562"/>
      <c r="H68" s="562"/>
      <c r="I68" s="562">
        <v>10.3</v>
      </c>
      <c r="J68" s="562">
        <v>43</v>
      </c>
      <c r="K68" s="563" t="s">
        <v>200</v>
      </c>
      <c r="L68" s="564" t="s">
        <v>153</v>
      </c>
      <c r="M68" s="319">
        <f>ROUND(((F67*(I68*G67/3600))*0.8),4)</f>
        <v>0.1144</v>
      </c>
      <c r="N68" s="319">
        <f>ROUND(((E67*(J68*H67/1000))*0.8),4)</f>
        <v>3.5700000000000003E-2</v>
      </c>
      <c r="Q68" s="289"/>
    </row>
    <row r="69" spans="1:17" s="91" customFormat="1" ht="15" customHeight="1" x14ac:dyDescent="0.2">
      <c r="A69" s="561"/>
      <c r="B69" s="1020"/>
      <c r="C69" s="561"/>
      <c r="D69" s="561"/>
      <c r="E69" s="561"/>
      <c r="F69" s="562"/>
      <c r="G69" s="562"/>
      <c r="H69" s="562"/>
      <c r="I69" s="562"/>
      <c r="J69" s="562"/>
      <c r="K69" s="563" t="s">
        <v>201</v>
      </c>
      <c r="L69" s="564" t="s">
        <v>202</v>
      </c>
      <c r="M69" s="319">
        <f>ROUND(((F67*(I68*G67/3600))*0.13),4)</f>
        <v>1.8599999999999998E-2</v>
      </c>
      <c r="N69" s="319">
        <f>ROUND(((E67*(J68*H67/1000))*0.13),4)</f>
        <v>5.7999999999999996E-3</v>
      </c>
    </row>
    <row r="70" spans="1:17" s="91" customFormat="1" ht="15" customHeight="1" x14ac:dyDescent="0.2">
      <c r="A70" s="561"/>
      <c r="B70" s="561"/>
      <c r="C70" s="561"/>
      <c r="D70" s="561"/>
      <c r="E70" s="561"/>
      <c r="F70" s="562"/>
      <c r="G70" s="562"/>
      <c r="H70" s="562"/>
      <c r="I70" s="321">
        <v>3.6</v>
      </c>
      <c r="J70" s="321">
        <v>15</v>
      </c>
      <c r="K70" s="565" t="s">
        <v>247</v>
      </c>
      <c r="L70" s="566">
        <v>2754</v>
      </c>
      <c r="M70" s="319">
        <f>ROUND((F67*(I70*G67/3600)),4)</f>
        <v>0.05</v>
      </c>
      <c r="N70" s="319">
        <f>ROUND(((E67*(J70*H67/1000))),4)</f>
        <v>1.5599999999999999E-2</v>
      </c>
    </row>
    <row r="71" spans="1:17" s="91" customFormat="1" ht="15" customHeight="1" x14ac:dyDescent="0.2">
      <c r="A71" s="561"/>
      <c r="B71" s="561"/>
      <c r="C71" s="561"/>
      <c r="D71" s="561"/>
      <c r="E71" s="561"/>
      <c r="F71" s="562"/>
      <c r="G71" s="562"/>
      <c r="H71" s="562"/>
      <c r="I71" s="321">
        <v>0.7</v>
      </c>
      <c r="J71" s="321">
        <v>3</v>
      </c>
      <c r="K71" s="567" t="s">
        <v>638</v>
      </c>
      <c r="L71" s="566" t="s">
        <v>208</v>
      </c>
      <c r="M71" s="319">
        <f>ROUND((F67*(I71*G67/3600)),4)</f>
        <v>9.7000000000000003E-3</v>
      </c>
      <c r="N71" s="319">
        <f>ROUND(((E67*(J71*H67/1000))),4)</f>
        <v>3.0999999999999999E-3</v>
      </c>
    </row>
    <row r="72" spans="1:17" s="91" customFormat="1" ht="15" customHeight="1" x14ac:dyDescent="0.2">
      <c r="A72" s="561"/>
      <c r="B72" s="561"/>
      <c r="C72" s="561"/>
      <c r="D72" s="561"/>
      <c r="E72" s="561"/>
      <c r="F72" s="562"/>
      <c r="G72" s="562"/>
      <c r="H72" s="562"/>
      <c r="I72" s="321">
        <v>1.1000000000000001</v>
      </c>
      <c r="J72" s="321">
        <v>4.5</v>
      </c>
      <c r="K72" s="567" t="s">
        <v>246</v>
      </c>
      <c r="L72" s="566" t="s">
        <v>204</v>
      </c>
      <c r="M72" s="319">
        <f>ROUND((F67*(I72*G67/3600)),4)</f>
        <v>1.5299999999999999E-2</v>
      </c>
      <c r="N72" s="319">
        <f>ROUND(((E67*(J72*H67/1000))),4)</f>
        <v>4.7000000000000002E-3</v>
      </c>
    </row>
    <row r="73" spans="1:17" s="91" customFormat="1" ht="15" customHeight="1" x14ac:dyDescent="0.2">
      <c r="A73" s="561"/>
      <c r="B73" s="561"/>
      <c r="C73" s="561"/>
      <c r="D73" s="561"/>
      <c r="E73" s="561"/>
      <c r="F73" s="562"/>
      <c r="G73" s="562"/>
      <c r="H73" s="562"/>
      <c r="I73" s="568">
        <v>0.15</v>
      </c>
      <c r="J73" s="568">
        <v>0.6</v>
      </c>
      <c r="K73" s="567" t="s">
        <v>248</v>
      </c>
      <c r="L73" s="566" t="s">
        <v>249</v>
      </c>
      <c r="M73" s="319">
        <f>ROUND((F67*(I73*G67/3600)),4)</f>
        <v>2.0999999999999999E-3</v>
      </c>
      <c r="N73" s="319">
        <f>ROUND(((E67*(J73*H67/1000))),5)</f>
        <v>6.2E-4</v>
      </c>
    </row>
    <row r="74" spans="1:17" s="91" customFormat="1" ht="15" customHeight="1" x14ac:dyDescent="0.2">
      <c r="A74" s="569"/>
      <c r="B74" s="569"/>
      <c r="C74" s="569"/>
      <c r="D74" s="570"/>
      <c r="E74" s="569"/>
      <c r="F74" s="571"/>
      <c r="G74" s="571"/>
      <c r="H74" s="571"/>
      <c r="I74" s="321">
        <v>1.2999999999999999E-5</v>
      </c>
      <c r="J74" s="321">
        <v>5.5000000000000002E-5</v>
      </c>
      <c r="K74" s="567" t="s">
        <v>639</v>
      </c>
      <c r="L74" s="566" t="s">
        <v>640</v>
      </c>
      <c r="M74" s="319">
        <f>ROUND((F67*(I74*G67/3600)),7)</f>
        <v>1.9999999999999999E-7</v>
      </c>
      <c r="N74" s="319">
        <f>ROUND(((E67*(J74*H67/1000))),9)</f>
        <v>5.7000000000000001E-8</v>
      </c>
      <c r="O74" s="91">
        <f>SUM(M67:M74)</f>
        <v>0.31010019999999999</v>
      </c>
      <c r="P74" s="91">
        <f>SUM(N67:N74)</f>
        <v>9.6620056999999995E-2</v>
      </c>
    </row>
    <row r="75" spans="1:17" s="554" customFormat="1" ht="15" customHeight="1" x14ac:dyDescent="0.2">
      <c r="A75" s="1021" t="s">
        <v>103</v>
      </c>
      <c r="B75" s="1022"/>
      <c r="C75" s="1022"/>
      <c r="D75" s="1022"/>
      <c r="E75" s="1022"/>
      <c r="F75" s="1022"/>
      <c r="G75" s="1022"/>
      <c r="H75" s="1022"/>
      <c r="I75" s="1022"/>
      <c r="J75" s="1022"/>
      <c r="K75" s="1022"/>
      <c r="L75" s="1022"/>
      <c r="M75" s="1022"/>
      <c r="N75" s="1023"/>
      <c r="O75" s="672">
        <f>SUM(O66:O74)</f>
        <v>0.49630029999999992</v>
      </c>
      <c r="P75" s="673">
        <f>SUM(P66:P74)</f>
        <v>0.15439008699999998</v>
      </c>
      <c r="Q75" s="674">
        <v>2028</v>
      </c>
    </row>
    <row r="76" spans="1:17" s="554" customFormat="1" ht="15" customHeight="1" x14ac:dyDescent="0.2">
      <c r="A76" s="557" t="s">
        <v>544</v>
      </c>
      <c r="B76" s="1020" t="s">
        <v>251</v>
      </c>
      <c r="C76" s="523" t="s">
        <v>245</v>
      </c>
      <c r="D76" s="523" t="s">
        <v>188</v>
      </c>
      <c r="E76" s="523">
        <v>1</v>
      </c>
      <c r="F76" s="523">
        <v>1</v>
      </c>
      <c r="G76" s="523">
        <v>30</v>
      </c>
      <c r="H76" s="523">
        <v>1.25</v>
      </c>
      <c r="I76" s="558">
        <v>7.2</v>
      </c>
      <c r="J76" s="558">
        <v>30</v>
      </c>
      <c r="K76" s="559" t="s">
        <v>170</v>
      </c>
      <c r="L76" s="560" t="s">
        <v>162</v>
      </c>
      <c r="M76" s="556">
        <f>ROUND((F76*(I76*G76/3600)),4)</f>
        <v>0.06</v>
      </c>
      <c r="N76" s="556">
        <f>ROUND((E76*(J76*H76/1000)),4)</f>
        <v>3.7499999999999999E-2</v>
      </c>
      <c r="O76" s="575"/>
    </row>
    <row r="77" spans="1:17" s="91" customFormat="1" ht="15" customHeight="1" x14ac:dyDescent="0.2">
      <c r="A77" s="345"/>
      <c r="B77" s="1020"/>
      <c r="C77" s="561"/>
      <c r="D77" s="561"/>
      <c r="E77" s="561"/>
      <c r="F77" s="562"/>
      <c r="G77" s="562"/>
      <c r="H77" s="562"/>
      <c r="I77" s="562">
        <v>10.3</v>
      </c>
      <c r="J77" s="562">
        <v>43</v>
      </c>
      <c r="K77" s="563" t="s">
        <v>200</v>
      </c>
      <c r="L77" s="564" t="s">
        <v>153</v>
      </c>
      <c r="M77" s="319">
        <f>ROUND(((F76*(I77*G76/3600))*0.8),4)</f>
        <v>6.8699999999999997E-2</v>
      </c>
      <c r="N77" s="319">
        <f>ROUND(((E76*(J77*H76/1000))*0.8),4)</f>
        <v>4.2999999999999997E-2</v>
      </c>
      <c r="O77" s="575"/>
      <c r="Q77" s="289"/>
    </row>
    <row r="78" spans="1:17" s="91" customFormat="1" ht="15" customHeight="1" x14ac:dyDescent="0.2">
      <c r="A78" s="561"/>
      <c r="B78" s="1020"/>
      <c r="C78" s="561"/>
      <c r="D78" s="561"/>
      <c r="E78" s="561"/>
      <c r="F78" s="562"/>
      <c r="G78" s="562"/>
      <c r="H78" s="562"/>
      <c r="I78" s="562"/>
      <c r="J78" s="562"/>
      <c r="K78" s="563" t="s">
        <v>201</v>
      </c>
      <c r="L78" s="564" t="s">
        <v>202</v>
      </c>
      <c r="M78" s="319">
        <f>ROUND(((F76*(I77*G76/3600))*0.13),4)</f>
        <v>1.12E-2</v>
      </c>
      <c r="N78" s="319">
        <f>ROUND(((E76*(J77*H76/1000))*0.13),4)</f>
        <v>7.0000000000000001E-3</v>
      </c>
      <c r="O78" s="575"/>
    </row>
    <row r="79" spans="1:17" s="91" customFormat="1" ht="15" customHeight="1" x14ac:dyDescent="0.2">
      <c r="A79" s="561"/>
      <c r="B79" s="561"/>
      <c r="C79" s="561"/>
      <c r="D79" s="561"/>
      <c r="E79" s="561"/>
      <c r="F79" s="562"/>
      <c r="G79" s="562"/>
      <c r="H79" s="562"/>
      <c r="I79" s="321">
        <v>3.6</v>
      </c>
      <c r="J79" s="321">
        <v>15</v>
      </c>
      <c r="K79" s="565" t="s">
        <v>247</v>
      </c>
      <c r="L79" s="566">
        <v>2754</v>
      </c>
      <c r="M79" s="319">
        <f>ROUND((F76*(I79*G76/3600)),4)</f>
        <v>0.03</v>
      </c>
      <c r="N79" s="319">
        <f>ROUND(((E76*(J79*H76/1000))),4)</f>
        <v>1.8800000000000001E-2</v>
      </c>
      <c r="O79" s="575"/>
    </row>
    <row r="80" spans="1:17" s="91" customFormat="1" ht="15" customHeight="1" x14ac:dyDescent="0.2">
      <c r="A80" s="561"/>
      <c r="B80" s="561"/>
      <c r="C80" s="561"/>
      <c r="D80" s="561"/>
      <c r="E80" s="561"/>
      <c r="F80" s="562"/>
      <c r="G80" s="562"/>
      <c r="H80" s="562"/>
      <c r="I80" s="321">
        <v>0.7</v>
      </c>
      <c r="J80" s="321">
        <v>3</v>
      </c>
      <c r="K80" s="567" t="s">
        <v>638</v>
      </c>
      <c r="L80" s="566" t="s">
        <v>208</v>
      </c>
      <c r="M80" s="319">
        <f>ROUND((F76*(I80*G76/3600)),4)</f>
        <v>5.7999999999999996E-3</v>
      </c>
      <c r="N80" s="319">
        <f>ROUND(((E76*(J80*H76/1000))),4)</f>
        <v>3.8E-3</v>
      </c>
      <c r="O80" s="575"/>
    </row>
    <row r="81" spans="1:17" s="91" customFormat="1" ht="15" customHeight="1" x14ac:dyDescent="0.2">
      <c r="A81" s="561"/>
      <c r="B81" s="561"/>
      <c r="C81" s="561"/>
      <c r="D81" s="561"/>
      <c r="E81" s="561"/>
      <c r="F81" s="562"/>
      <c r="G81" s="562"/>
      <c r="H81" s="562"/>
      <c r="I81" s="321">
        <v>1.1000000000000001</v>
      </c>
      <c r="J81" s="321">
        <v>4.5</v>
      </c>
      <c r="K81" s="567" t="s">
        <v>246</v>
      </c>
      <c r="L81" s="566" t="s">
        <v>204</v>
      </c>
      <c r="M81" s="319">
        <f>ROUND((F76*(I81*G76/3600)),4)</f>
        <v>9.1999999999999998E-3</v>
      </c>
      <c r="N81" s="319">
        <f>ROUND(((E76*(J81*H76/1000))),4)</f>
        <v>5.5999999999999999E-3</v>
      </c>
    </row>
    <row r="82" spans="1:17" s="91" customFormat="1" ht="15" customHeight="1" x14ac:dyDescent="0.2">
      <c r="A82" s="561"/>
      <c r="B82" s="561"/>
      <c r="C82" s="561"/>
      <c r="D82" s="561"/>
      <c r="E82" s="561"/>
      <c r="F82" s="562"/>
      <c r="G82" s="562"/>
      <c r="H82" s="562"/>
      <c r="I82" s="568">
        <v>0.15</v>
      </c>
      <c r="J82" s="568">
        <v>0.6</v>
      </c>
      <c r="K82" s="567" t="s">
        <v>248</v>
      </c>
      <c r="L82" s="566" t="s">
        <v>249</v>
      </c>
      <c r="M82" s="319">
        <f>ROUND((F76*(I82*G76/3600)),4)</f>
        <v>1.2999999999999999E-3</v>
      </c>
      <c r="N82" s="319">
        <f>ROUND(((E76*(J82*H76/1000))),5)</f>
        <v>7.5000000000000002E-4</v>
      </c>
    </row>
    <row r="83" spans="1:17" s="91" customFormat="1" ht="15" customHeight="1" x14ac:dyDescent="0.2">
      <c r="A83" s="569"/>
      <c r="B83" s="569"/>
      <c r="C83" s="569"/>
      <c r="D83" s="570"/>
      <c r="E83" s="569"/>
      <c r="F83" s="571"/>
      <c r="G83" s="571"/>
      <c r="H83" s="571"/>
      <c r="I83" s="321">
        <v>1.2999999999999999E-5</v>
      </c>
      <c r="J83" s="321">
        <v>5.5000000000000002E-5</v>
      </c>
      <c r="K83" s="567" t="s">
        <v>639</v>
      </c>
      <c r="L83" s="566" t="s">
        <v>640</v>
      </c>
      <c r="M83" s="319">
        <f>ROUND((F76*(I83*G76/3600)),7)</f>
        <v>9.9999999999999995E-8</v>
      </c>
      <c r="N83" s="319">
        <f>ROUND(((E76*(J83*H76/1000))),7)</f>
        <v>9.9999999999999995E-8</v>
      </c>
      <c r="O83" s="91">
        <f>SUM(M76:M83)</f>
        <v>0.18620009999999995</v>
      </c>
      <c r="P83" s="91">
        <f>SUM(N76:N83)</f>
        <v>0.11645009999999999</v>
      </c>
    </row>
    <row r="84" spans="1:17" s="554" customFormat="1" ht="15" customHeight="1" x14ac:dyDescent="0.2">
      <c r="A84" s="572" t="s">
        <v>545</v>
      </c>
      <c r="B84" s="862" t="s">
        <v>641</v>
      </c>
      <c r="C84" s="523" t="s">
        <v>245</v>
      </c>
      <c r="D84" s="523" t="s">
        <v>188</v>
      </c>
      <c r="E84" s="523">
        <v>1</v>
      </c>
      <c r="F84" s="523">
        <v>1</v>
      </c>
      <c r="G84" s="523">
        <v>50</v>
      </c>
      <c r="H84" s="344">
        <v>2.0762999999999998</v>
      </c>
      <c r="I84" s="488">
        <v>7.2</v>
      </c>
      <c r="J84" s="488">
        <v>30</v>
      </c>
      <c r="K84" s="559" t="s">
        <v>170</v>
      </c>
      <c r="L84" s="33" t="s">
        <v>162</v>
      </c>
      <c r="M84" s="28">
        <f>ROUND((F84*(I84*G84/3600)),4)</f>
        <v>0.1</v>
      </c>
      <c r="N84" s="28">
        <f>ROUND((E84*(J84*H84/1000)),4)</f>
        <v>6.2300000000000001E-2</v>
      </c>
    </row>
    <row r="85" spans="1:17" s="91" customFormat="1" ht="15" customHeight="1" x14ac:dyDescent="0.2">
      <c r="A85" s="345"/>
      <c r="B85" s="1020"/>
      <c r="C85" s="561"/>
      <c r="D85" s="561"/>
      <c r="E85" s="561"/>
      <c r="F85" s="562"/>
      <c r="G85" s="562"/>
      <c r="H85" s="562"/>
      <c r="I85" s="562">
        <v>10.3</v>
      </c>
      <c r="J85" s="562">
        <v>43</v>
      </c>
      <c r="K85" s="563" t="s">
        <v>200</v>
      </c>
      <c r="L85" s="564" t="s">
        <v>153</v>
      </c>
      <c r="M85" s="319">
        <f>ROUND(((F84*(I85*G84/3600))*0.8),4)</f>
        <v>0.1144</v>
      </c>
      <c r="N85" s="319">
        <f>ROUND(((E84*(J85*H84/1000))*0.8),4)</f>
        <v>7.1400000000000005E-2</v>
      </c>
      <c r="Q85" s="289"/>
    </row>
    <row r="86" spans="1:17" s="91" customFormat="1" ht="15" customHeight="1" x14ac:dyDescent="0.2">
      <c r="A86" s="561"/>
      <c r="B86" s="1020"/>
      <c r="C86" s="561"/>
      <c r="D86" s="561"/>
      <c r="E86" s="561"/>
      <c r="F86" s="562"/>
      <c r="G86" s="562"/>
      <c r="H86" s="562"/>
      <c r="I86" s="562"/>
      <c r="J86" s="562"/>
      <c r="K86" s="563" t="s">
        <v>201</v>
      </c>
      <c r="L86" s="564" t="s">
        <v>202</v>
      </c>
      <c r="M86" s="319">
        <f>ROUND(((F84*(I85*G84/3600))*0.13),4)</f>
        <v>1.8599999999999998E-2</v>
      </c>
      <c r="N86" s="319">
        <f>ROUND(((E84*(J85*H84/1000))*0.13),4)</f>
        <v>1.1599999999999999E-2</v>
      </c>
    </row>
    <row r="87" spans="1:17" s="91" customFormat="1" ht="15" customHeight="1" x14ac:dyDescent="0.2">
      <c r="A87" s="561"/>
      <c r="B87" s="561"/>
      <c r="C87" s="561"/>
      <c r="D87" s="561"/>
      <c r="E87" s="561"/>
      <c r="F87" s="562"/>
      <c r="G87" s="562"/>
      <c r="H87" s="562"/>
      <c r="I87" s="321">
        <v>3.6</v>
      </c>
      <c r="J87" s="321">
        <v>15</v>
      </c>
      <c r="K87" s="565" t="s">
        <v>247</v>
      </c>
      <c r="L87" s="566">
        <v>2754</v>
      </c>
      <c r="M87" s="319">
        <f>ROUND((F84*(I87*G84/3600)),4)</f>
        <v>0.05</v>
      </c>
      <c r="N87" s="319">
        <f>ROUND(((E84*(J87*H84/1000))),4)</f>
        <v>3.1099999999999999E-2</v>
      </c>
    </row>
    <row r="88" spans="1:17" s="91" customFormat="1" ht="15" customHeight="1" x14ac:dyDescent="0.2">
      <c r="A88" s="561"/>
      <c r="B88" s="561"/>
      <c r="C88" s="561"/>
      <c r="D88" s="561"/>
      <c r="E88" s="561"/>
      <c r="F88" s="562"/>
      <c r="G88" s="562"/>
      <c r="H88" s="562"/>
      <c r="I88" s="321">
        <v>0.7</v>
      </c>
      <c r="J88" s="321">
        <v>3</v>
      </c>
      <c r="K88" s="567" t="s">
        <v>638</v>
      </c>
      <c r="L88" s="566" t="s">
        <v>208</v>
      </c>
      <c r="M88" s="319">
        <f>ROUND((F84*(I88*G84/3600)),4)</f>
        <v>9.7000000000000003E-3</v>
      </c>
      <c r="N88" s="319">
        <f>ROUND(((E84*(J88*H84/1000))),4)</f>
        <v>6.1999999999999998E-3</v>
      </c>
    </row>
    <row r="89" spans="1:17" s="91" customFormat="1" ht="15" customHeight="1" x14ac:dyDescent="0.2">
      <c r="A89" s="561"/>
      <c r="B89" s="561"/>
      <c r="C89" s="561"/>
      <c r="D89" s="561"/>
      <c r="E89" s="561"/>
      <c r="F89" s="562"/>
      <c r="G89" s="562"/>
      <c r="H89" s="562"/>
      <c r="I89" s="321">
        <v>1.1000000000000001</v>
      </c>
      <c r="J89" s="321">
        <v>4.5</v>
      </c>
      <c r="K89" s="567" t="s">
        <v>246</v>
      </c>
      <c r="L89" s="566" t="s">
        <v>204</v>
      </c>
      <c r="M89" s="319">
        <f>ROUND((F84*(I89*G84/3600)),4)</f>
        <v>1.5299999999999999E-2</v>
      </c>
      <c r="N89" s="319">
        <f>ROUND(((E84*(J89*H84/1000))),4)</f>
        <v>9.2999999999999992E-3</v>
      </c>
    </row>
    <row r="90" spans="1:17" s="91" customFormat="1" ht="15" customHeight="1" x14ac:dyDescent="0.2">
      <c r="A90" s="561"/>
      <c r="B90" s="561"/>
      <c r="C90" s="561"/>
      <c r="D90" s="561"/>
      <c r="E90" s="561"/>
      <c r="F90" s="562"/>
      <c r="G90" s="562"/>
      <c r="H90" s="562"/>
      <c r="I90" s="568">
        <v>0.15</v>
      </c>
      <c r="J90" s="568">
        <v>0.6</v>
      </c>
      <c r="K90" s="567" t="s">
        <v>248</v>
      </c>
      <c r="L90" s="566" t="s">
        <v>249</v>
      </c>
      <c r="M90" s="319">
        <f>ROUND((F84*(I90*G84/3600)),4)</f>
        <v>2.0999999999999999E-3</v>
      </c>
      <c r="N90" s="319">
        <f>ROUND(((E84*(J90*H84/1000))),5)</f>
        <v>1.25E-3</v>
      </c>
    </row>
    <row r="91" spans="1:17" s="91" customFormat="1" ht="15" customHeight="1" x14ac:dyDescent="0.2">
      <c r="A91" s="569"/>
      <c r="B91" s="569"/>
      <c r="C91" s="569"/>
      <c r="D91" s="570"/>
      <c r="E91" s="569"/>
      <c r="F91" s="571"/>
      <c r="G91" s="571"/>
      <c r="H91" s="571"/>
      <c r="I91" s="321">
        <v>1.2999999999999999E-5</v>
      </c>
      <c r="J91" s="321">
        <v>5.5000000000000002E-5</v>
      </c>
      <c r="K91" s="567" t="s">
        <v>639</v>
      </c>
      <c r="L91" s="566" t="s">
        <v>640</v>
      </c>
      <c r="M91" s="319">
        <f>ROUND((F84*(I91*G84/3600)),7)</f>
        <v>1.9999999999999999E-7</v>
      </c>
      <c r="N91" s="319">
        <f>ROUND(((E84*(J91*H84/1000))),9)</f>
        <v>1.14E-7</v>
      </c>
      <c r="O91" s="91">
        <f>SUM(M84:M91)</f>
        <v>0.31010019999999999</v>
      </c>
      <c r="P91" s="91">
        <f>SUM(N84:N91)</f>
        <v>0.19315011400000001</v>
      </c>
    </row>
    <row r="92" spans="1:17" s="554" customFormat="1" ht="15" customHeight="1" x14ac:dyDescent="0.2">
      <c r="A92" s="1021" t="s">
        <v>105</v>
      </c>
      <c r="B92" s="1022"/>
      <c r="C92" s="1022"/>
      <c r="D92" s="1022"/>
      <c r="E92" s="1022"/>
      <c r="F92" s="1022"/>
      <c r="G92" s="1022"/>
      <c r="H92" s="1022"/>
      <c r="I92" s="1022"/>
      <c r="J92" s="1022"/>
      <c r="K92" s="1022"/>
      <c r="L92" s="1022"/>
      <c r="M92" s="1022"/>
      <c r="N92" s="1023"/>
      <c r="O92" s="672">
        <f>SUM(O83:O91)</f>
        <v>0.49630029999999992</v>
      </c>
      <c r="P92" s="673">
        <f>SUM(P83:P91)</f>
        <v>0.30960021399999998</v>
      </c>
      <c r="Q92" s="674">
        <v>2032</v>
      </c>
    </row>
    <row r="93" spans="1:17" s="554" customFormat="1" ht="15" customHeight="1" x14ac:dyDescent="0.2">
      <c r="A93" s="557" t="s">
        <v>544</v>
      </c>
      <c r="B93" s="1020" t="s">
        <v>251</v>
      </c>
      <c r="C93" s="523" t="s">
        <v>245</v>
      </c>
      <c r="D93" s="523" t="s">
        <v>188</v>
      </c>
      <c r="E93" s="523">
        <v>1</v>
      </c>
      <c r="F93" s="523">
        <v>1</v>
      </c>
      <c r="G93" s="523">
        <v>30</v>
      </c>
      <c r="H93" s="523">
        <v>1</v>
      </c>
      <c r="I93" s="558">
        <v>7.2</v>
      </c>
      <c r="J93" s="558">
        <v>30</v>
      </c>
      <c r="K93" s="559" t="s">
        <v>170</v>
      </c>
      <c r="L93" s="560" t="s">
        <v>162</v>
      </c>
      <c r="M93" s="556">
        <f>ROUND((F93*(I93*G93/3600)),4)</f>
        <v>0.06</v>
      </c>
      <c r="N93" s="556">
        <f>ROUND((E93*(J93*H93/1000)),4)</f>
        <v>0.03</v>
      </c>
      <c r="O93" s="575"/>
    </row>
    <row r="94" spans="1:17" s="91" customFormat="1" ht="15" customHeight="1" x14ac:dyDescent="0.2">
      <c r="A94" s="345"/>
      <c r="B94" s="1020"/>
      <c r="C94" s="561"/>
      <c r="D94" s="561"/>
      <c r="E94" s="561"/>
      <c r="F94" s="562"/>
      <c r="G94" s="562"/>
      <c r="H94" s="562"/>
      <c r="I94" s="562">
        <v>10.3</v>
      </c>
      <c r="J94" s="562">
        <v>43</v>
      </c>
      <c r="K94" s="563" t="s">
        <v>200</v>
      </c>
      <c r="L94" s="564" t="s">
        <v>153</v>
      </c>
      <c r="M94" s="319">
        <f>ROUND(((F93*(I94*G93/3600))*0.8),4)</f>
        <v>6.8699999999999997E-2</v>
      </c>
      <c r="N94" s="319">
        <f>ROUND(((E93*(J94*H93/1000))*0.8),4)</f>
        <v>3.44E-2</v>
      </c>
      <c r="O94" s="575"/>
      <c r="Q94" s="289"/>
    </row>
    <row r="95" spans="1:17" s="91" customFormat="1" ht="15" customHeight="1" x14ac:dyDescent="0.2">
      <c r="A95" s="561"/>
      <c r="B95" s="1020"/>
      <c r="C95" s="561"/>
      <c r="D95" s="561"/>
      <c r="E95" s="561"/>
      <c r="F95" s="562"/>
      <c r="G95" s="562"/>
      <c r="H95" s="562"/>
      <c r="I95" s="562"/>
      <c r="J95" s="562"/>
      <c r="K95" s="563" t="s">
        <v>201</v>
      </c>
      <c r="L95" s="564" t="s">
        <v>202</v>
      </c>
      <c r="M95" s="319">
        <f>ROUND(((F93*(I94*G93/3600))*0.13),4)</f>
        <v>1.12E-2</v>
      </c>
      <c r="N95" s="319">
        <f>ROUND(((E93*(J94*H93/1000))*0.13),4)</f>
        <v>5.5999999999999999E-3</v>
      </c>
      <c r="O95" s="575"/>
    </row>
    <row r="96" spans="1:17" s="91" customFormat="1" ht="15" customHeight="1" x14ac:dyDescent="0.2">
      <c r="A96" s="561"/>
      <c r="B96" s="561"/>
      <c r="C96" s="561"/>
      <c r="D96" s="561"/>
      <c r="E96" s="561"/>
      <c r="F96" s="562"/>
      <c r="G96" s="562"/>
      <c r="H96" s="562"/>
      <c r="I96" s="321">
        <v>3.6</v>
      </c>
      <c r="J96" s="321">
        <v>15</v>
      </c>
      <c r="K96" s="565" t="s">
        <v>247</v>
      </c>
      <c r="L96" s="566">
        <v>2754</v>
      </c>
      <c r="M96" s="319">
        <f>ROUND((F93*(I96*G93/3600)),4)</f>
        <v>0.03</v>
      </c>
      <c r="N96" s="319">
        <f>ROUND(((E93*(J96*H93/1000))),4)</f>
        <v>1.4999999999999999E-2</v>
      </c>
      <c r="O96" s="575"/>
    </row>
    <row r="97" spans="1:17" s="91" customFormat="1" ht="15" customHeight="1" x14ac:dyDescent="0.2">
      <c r="A97" s="561"/>
      <c r="B97" s="561"/>
      <c r="C97" s="561"/>
      <c r="D97" s="561"/>
      <c r="E97" s="561"/>
      <c r="F97" s="562"/>
      <c r="G97" s="562"/>
      <c r="H97" s="562"/>
      <c r="I97" s="321">
        <v>0.7</v>
      </c>
      <c r="J97" s="321">
        <v>3</v>
      </c>
      <c r="K97" s="567" t="s">
        <v>638</v>
      </c>
      <c r="L97" s="566" t="s">
        <v>208</v>
      </c>
      <c r="M97" s="319">
        <f>ROUND((F93*(I97*G93/3600)),4)</f>
        <v>5.7999999999999996E-3</v>
      </c>
      <c r="N97" s="319">
        <f>ROUND(((E93*(J97*H93/1000))),4)</f>
        <v>3.0000000000000001E-3</v>
      </c>
      <c r="O97" s="575"/>
    </row>
    <row r="98" spans="1:17" s="91" customFormat="1" ht="15" customHeight="1" x14ac:dyDescent="0.2">
      <c r="A98" s="561"/>
      <c r="B98" s="561"/>
      <c r="C98" s="561"/>
      <c r="D98" s="561"/>
      <c r="E98" s="561"/>
      <c r="F98" s="562"/>
      <c r="G98" s="562"/>
      <c r="H98" s="562"/>
      <c r="I98" s="321">
        <v>1.1000000000000001</v>
      </c>
      <c r="J98" s="321">
        <v>4.5</v>
      </c>
      <c r="K98" s="567" t="s">
        <v>246</v>
      </c>
      <c r="L98" s="566" t="s">
        <v>204</v>
      </c>
      <c r="M98" s="319">
        <f>ROUND((F93*(I98*G93/3600)),4)</f>
        <v>9.1999999999999998E-3</v>
      </c>
      <c r="N98" s="319">
        <f>ROUND(((E93*(J98*H93/1000))),4)</f>
        <v>4.4999999999999997E-3</v>
      </c>
    </row>
    <row r="99" spans="1:17" s="91" customFormat="1" ht="15" customHeight="1" x14ac:dyDescent="0.2">
      <c r="A99" s="561"/>
      <c r="B99" s="561"/>
      <c r="C99" s="561"/>
      <c r="D99" s="561"/>
      <c r="E99" s="561"/>
      <c r="F99" s="562"/>
      <c r="G99" s="562"/>
      <c r="H99" s="562"/>
      <c r="I99" s="568">
        <v>0.15</v>
      </c>
      <c r="J99" s="568">
        <v>0.6</v>
      </c>
      <c r="K99" s="567" t="s">
        <v>248</v>
      </c>
      <c r="L99" s="566" t="s">
        <v>249</v>
      </c>
      <c r="M99" s="319">
        <f>ROUND((F93*(I99*G93/3600)),4)</f>
        <v>1.2999999999999999E-3</v>
      </c>
      <c r="N99" s="319">
        <f>ROUND(((E93*(J99*H93/1000))),5)</f>
        <v>5.9999999999999995E-4</v>
      </c>
    </row>
    <row r="100" spans="1:17" s="91" customFormat="1" ht="15" customHeight="1" x14ac:dyDescent="0.2">
      <c r="A100" s="569"/>
      <c r="B100" s="569"/>
      <c r="C100" s="569"/>
      <c r="D100" s="570"/>
      <c r="E100" s="569"/>
      <c r="F100" s="571"/>
      <c r="G100" s="571"/>
      <c r="H100" s="571"/>
      <c r="I100" s="321">
        <v>1.2999999999999999E-5</v>
      </c>
      <c r="J100" s="321">
        <v>5.5000000000000002E-5</v>
      </c>
      <c r="K100" s="567" t="s">
        <v>639</v>
      </c>
      <c r="L100" s="566" t="s">
        <v>640</v>
      </c>
      <c r="M100" s="319">
        <f>ROUND((F93*(I100*G93/3600)),7)</f>
        <v>9.9999999999999995E-8</v>
      </c>
      <c r="N100" s="319">
        <f>ROUND(((E93*(J100*H93/1000))),7)</f>
        <v>9.9999999999999995E-8</v>
      </c>
      <c r="O100" s="91">
        <f>SUM(M93:M100)</f>
        <v>0.18620009999999995</v>
      </c>
      <c r="P100" s="91">
        <f>SUM(N93:N100)</f>
        <v>9.3100100000000005E-2</v>
      </c>
    </row>
    <row r="101" spans="1:17" s="554" customFormat="1" ht="15" customHeight="1" x14ac:dyDescent="0.2">
      <c r="A101" s="572" t="s">
        <v>545</v>
      </c>
      <c r="B101" s="862" t="s">
        <v>641</v>
      </c>
      <c r="C101" s="523" t="s">
        <v>245</v>
      </c>
      <c r="D101" s="523" t="s">
        <v>188</v>
      </c>
      <c r="E101" s="523">
        <v>1</v>
      </c>
      <c r="F101" s="523">
        <v>1</v>
      </c>
      <c r="G101" s="523">
        <v>50</v>
      </c>
      <c r="H101" s="344">
        <v>1.661</v>
      </c>
      <c r="I101" s="488">
        <v>7.2</v>
      </c>
      <c r="J101" s="488">
        <v>30</v>
      </c>
      <c r="K101" s="559" t="s">
        <v>170</v>
      </c>
      <c r="L101" s="33" t="s">
        <v>162</v>
      </c>
      <c r="M101" s="28">
        <f>ROUND((F101*(I101*G101/3600)),4)</f>
        <v>0.1</v>
      </c>
      <c r="N101" s="28">
        <f>ROUND((E101*(J101*H101/1000)),4)</f>
        <v>4.9799999999999997E-2</v>
      </c>
    </row>
    <row r="102" spans="1:17" s="91" customFormat="1" ht="15" customHeight="1" x14ac:dyDescent="0.2">
      <c r="A102" s="345"/>
      <c r="B102" s="1020"/>
      <c r="C102" s="561"/>
      <c r="D102" s="561"/>
      <c r="E102" s="561"/>
      <c r="F102" s="562"/>
      <c r="G102" s="562"/>
      <c r="H102" s="562"/>
      <c r="I102" s="562">
        <v>10.3</v>
      </c>
      <c r="J102" s="562">
        <v>43</v>
      </c>
      <c r="K102" s="563" t="s">
        <v>200</v>
      </c>
      <c r="L102" s="564" t="s">
        <v>153</v>
      </c>
      <c r="M102" s="319">
        <f>ROUND(((F101*(I102*G101/3600))*0.8),4)</f>
        <v>0.1144</v>
      </c>
      <c r="N102" s="319">
        <f>ROUND(((E101*(J102*H101/1000))*0.8),4)</f>
        <v>5.7099999999999998E-2</v>
      </c>
      <c r="Q102" s="289"/>
    </row>
    <row r="103" spans="1:17" s="91" customFormat="1" ht="15" customHeight="1" x14ac:dyDescent="0.2">
      <c r="A103" s="561"/>
      <c r="B103" s="1020"/>
      <c r="C103" s="561"/>
      <c r="D103" s="561"/>
      <c r="E103" s="561"/>
      <c r="F103" s="562"/>
      <c r="G103" s="562"/>
      <c r="H103" s="562"/>
      <c r="I103" s="562"/>
      <c r="J103" s="562"/>
      <c r="K103" s="563" t="s">
        <v>201</v>
      </c>
      <c r="L103" s="564" t="s">
        <v>202</v>
      </c>
      <c r="M103" s="319">
        <f>ROUND(((F101*(I102*G101/3600))*0.13),4)</f>
        <v>1.8599999999999998E-2</v>
      </c>
      <c r="N103" s="319">
        <f>ROUND(((E101*(J102*H101/1000))*0.13),4)</f>
        <v>9.2999999999999992E-3</v>
      </c>
    </row>
    <row r="104" spans="1:17" s="91" customFormat="1" ht="15" customHeight="1" x14ac:dyDescent="0.2">
      <c r="A104" s="561"/>
      <c r="B104" s="561"/>
      <c r="C104" s="561"/>
      <c r="D104" s="561"/>
      <c r="E104" s="561"/>
      <c r="F104" s="562"/>
      <c r="G104" s="562"/>
      <c r="H104" s="562"/>
      <c r="I104" s="321">
        <v>3.6</v>
      </c>
      <c r="J104" s="321">
        <v>15</v>
      </c>
      <c r="K104" s="565" t="s">
        <v>247</v>
      </c>
      <c r="L104" s="566">
        <v>2754</v>
      </c>
      <c r="M104" s="319">
        <f>ROUND((F101*(I104*G101/3600)),4)</f>
        <v>0.05</v>
      </c>
      <c r="N104" s="319">
        <f>ROUND(((E101*(J104*H101/1000))),4)</f>
        <v>2.4899999999999999E-2</v>
      </c>
    </row>
    <row r="105" spans="1:17" s="91" customFormat="1" ht="15" customHeight="1" x14ac:dyDescent="0.2">
      <c r="A105" s="561"/>
      <c r="B105" s="561"/>
      <c r="C105" s="561"/>
      <c r="D105" s="561"/>
      <c r="E105" s="561"/>
      <c r="F105" s="562"/>
      <c r="G105" s="562"/>
      <c r="H105" s="562"/>
      <c r="I105" s="321">
        <v>0.7</v>
      </c>
      <c r="J105" s="321">
        <v>3</v>
      </c>
      <c r="K105" s="567" t="s">
        <v>638</v>
      </c>
      <c r="L105" s="566" t="s">
        <v>208</v>
      </c>
      <c r="M105" s="319">
        <f>ROUND((F101*(I105*G101/3600)),4)</f>
        <v>9.7000000000000003E-3</v>
      </c>
      <c r="N105" s="319">
        <f>ROUND(((E101*(J105*H101/1000))),4)</f>
        <v>5.0000000000000001E-3</v>
      </c>
    </row>
    <row r="106" spans="1:17" s="91" customFormat="1" ht="15" customHeight="1" x14ac:dyDescent="0.2">
      <c r="A106" s="561"/>
      <c r="B106" s="561"/>
      <c r="C106" s="561"/>
      <c r="D106" s="561"/>
      <c r="E106" s="561"/>
      <c r="F106" s="562"/>
      <c r="G106" s="562"/>
      <c r="H106" s="562"/>
      <c r="I106" s="321">
        <v>1.1000000000000001</v>
      </c>
      <c r="J106" s="321">
        <v>4.5</v>
      </c>
      <c r="K106" s="567" t="s">
        <v>246</v>
      </c>
      <c r="L106" s="566" t="s">
        <v>204</v>
      </c>
      <c r="M106" s="319">
        <f>ROUND((F101*(I106*G101/3600)),4)</f>
        <v>1.5299999999999999E-2</v>
      </c>
      <c r="N106" s="319">
        <f>ROUND(((E101*(J106*H101/1000))),4)</f>
        <v>7.4999999999999997E-3</v>
      </c>
    </row>
    <row r="107" spans="1:17" s="91" customFormat="1" ht="15" customHeight="1" x14ac:dyDescent="0.2">
      <c r="A107" s="561"/>
      <c r="B107" s="561"/>
      <c r="C107" s="561"/>
      <c r="D107" s="561"/>
      <c r="E107" s="561"/>
      <c r="F107" s="562"/>
      <c r="G107" s="562"/>
      <c r="H107" s="562"/>
      <c r="I107" s="568">
        <v>0.15</v>
      </c>
      <c r="J107" s="568">
        <v>0.6</v>
      </c>
      <c r="K107" s="567" t="s">
        <v>248</v>
      </c>
      <c r="L107" s="566" t="s">
        <v>249</v>
      </c>
      <c r="M107" s="319">
        <f>ROUND((F101*(I107*G101/3600)),4)</f>
        <v>2.0999999999999999E-3</v>
      </c>
      <c r="N107" s="319">
        <f>ROUND(((E101*(J107*H101/1000))),5)</f>
        <v>1E-3</v>
      </c>
    </row>
    <row r="108" spans="1:17" s="91" customFormat="1" ht="15" customHeight="1" x14ac:dyDescent="0.2">
      <c r="A108" s="569"/>
      <c r="B108" s="569"/>
      <c r="C108" s="569"/>
      <c r="D108" s="570"/>
      <c r="E108" s="569"/>
      <c r="F108" s="571"/>
      <c r="G108" s="571"/>
      <c r="H108" s="571"/>
      <c r="I108" s="321">
        <v>1.2999999999999999E-5</v>
      </c>
      <c r="J108" s="321">
        <v>5.5000000000000002E-5</v>
      </c>
      <c r="K108" s="567" t="s">
        <v>639</v>
      </c>
      <c r="L108" s="566" t="s">
        <v>640</v>
      </c>
      <c r="M108" s="319">
        <f>ROUND((F101*(I108*G101/3600)),7)</f>
        <v>1.9999999999999999E-7</v>
      </c>
      <c r="N108" s="319">
        <f>ROUND(((E101*(J108*H101/1000))),9)</f>
        <v>9.0999999999999994E-8</v>
      </c>
      <c r="O108" s="91">
        <f>SUM(M101:M108)</f>
        <v>0.31010019999999999</v>
      </c>
      <c r="P108" s="91">
        <f>SUM(N101:N108)</f>
        <v>0.15460009100000002</v>
      </c>
    </row>
    <row r="109" spans="1:17" s="554" customFormat="1" ht="15" customHeight="1" x14ac:dyDescent="0.2">
      <c r="A109" s="1021" t="s">
        <v>109</v>
      </c>
      <c r="B109" s="1022"/>
      <c r="C109" s="1022"/>
      <c r="D109" s="1022"/>
      <c r="E109" s="1022"/>
      <c r="F109" s="1022"/>
      <c r="G109" s="1022"/>
      <c r="H109" s="1022"/>
      <c r="I109" s="1022"/>
      <c r="J109" s="1022"/>
      <c r="K109" s="1022"/>
      <c r="L109" s="1022"/>
      <c r="M109" s="1022"/>
      <c r="N109" s="1023"/>
      <c r="O109" s="672">
        <f>SUM(O100:O108)</f>
        <v>0.49630029999999992</v>
      </c>
      <c r="P109" s="673">
        <f>SUM(P100:P108)</f>
        <v>0.24770019100000001</v>
      </c>
      <c r="Q109" s="674">
        <v>2033</v>
      </c>
    </row>
    <row r="110" spans="1:17" s="554" customFormat="1" ht="15" customHeight="1" x14ac:dyDescent="0.2">
      <c r="A110" s="557" t="s">
        <v>544</v>
      </c>
      <c r="B110" s="1020" t="s">
        <v>251</v>
      </c>
      <c r="C110" s="523" t="s">
        <v>245</v>
      </c>
      <c r="D110" s="523" t="s">
        <v>188</v>
      </c>
      <c r="E110" s="523">
        <v>1</v>
      </c>
      <c r="F110" s="523">
        <v>1</v>
      </c>
      <c r="G110" s="523">
        <v>30</v>
      </c>
      <c r="H110" s="523">
        <v>1.25</v>
      </c>
      <c r="I110" s="558">
        <v>7.2</v>
      </c>
      <c r="J110" s="558">
        <v>30</v>
      </c>
      <c r="K110" s="559" t="s">
        <v>170</v>
      </c>
      <c r="L110" s="560" t="s">
        <v>162</v>
      </c>
      <c r="M110" s="556">
        <f>ROUND((F110*(I110*G110/3600)),4)</f>
        <v>0.06</v>
      </c>
      <c r="N110" s="556">
        <f>ROUND((E110*(J110*H110/1000)),4)</f>
        <v>3.7499999999999999E-2</v>
      </c>
      <c r="O110" s="575"/>
    </row>
    <row r="111" spans="1:17" s="91" customFormat="1" ht="15" customHeight="1" x14ac:dyDescent="0.2">
      <c r="A111" s="345"/>
      <c r="B111" s="1020"/>
      <c r="C111" s="561"/>
      <c r="D111" s="561"/>
      <c r="E111" s="561"/>
      <c r="F111" s="562"/>
      <c r="G111" s="562"/>
      <c r="H111" s="562"/>
      <c r="I111" s="562">
        <v>10.3</v>
      </c>
      <c r="J111" s="562">
        <v>43</v>
      </c>
      <c r="K111" s="563" t="s">
        <v>200</v>
      </c>
      <c r="L111" s="564" t="s">
        <v>153</v>
      </c>
      <c r="M111" s="319">
        <f>ROUND(((F110*(I111*G110/3600))*0.8),4)</f>
        <v>6.8699999999999997E-2</v>
      </c>
      <c r="N111" s="319">
        <f>ROUND(((E110*(J111*H110/1000))*0.8),4)</f>
        <v>4.2999999999999997E-2</v>
      </c>
      <c r="O111" s="575"/>
      <c r="Q111" s="289"/>
    </row>
    <row r="112" spans="1:17" s="91" customFormat="1" ht="15" customHeight="1" x14ac:dyDescent="0.2">
      <c r="A112" s="561"/>
      <c r="B112" s="1020"/>
      <c r="C112" s="561"/>
      <c r="D112" s="561"/>
      <c r="E112" s="561"/>
      <c r="F112" s="562"/>
      <c r="G112" s="562"/>
      <c r="H112" s="562"/>
      <c r="I112" s="562"/>
      <c r="J112" s="562"/>
      <c r="K112" s="563" t="s">
        <v>201</v>
      </c>
      <c r="L112" s="564" t="s">
        <v>202</v>
      </c>
      <c r="M112" s="319">
        <f>ROUND(((F110*(I111*G110/3600))*0.13),4)</f>
        <v>1.12E-2</v>
      </c>
      <c r="N112" s="319">
        <f>ROUND(((E110*(J111*H110/1000))*0.13),4)</f>
        <v>7.0000000000000001E-3</v>
      </c>
      <c r="O112" s="575"/>
    </row>
    <row r="113" spans="1:17" s="91" customFormat="1" ht="15" customHeight="1" x14ac:dyDescent="0.2">
      <c r="A113" s="561"/>
      <c r="B113" s="561"/>
      <c r="C113" s="561"/>
      <c r="D113" s="561"/>
      <c r="E113" s="561"/>
      <c r="F113" s="562"/>
      <c r="G113" s="562"/>
      <c r="H113" s="562"/>
      <c r="I113" s="321">
        <v>3.6</v>
      </c>
      <c r="J113" s="321">
        <v>15</v>
      </c>
      <c r="K113" s="565" t="s">
        <v>247</v>
      </c>
      <c r="L113" s="566">
        <v>2754</v>
      </c>
      <c r="M113" s="319">
        <f>ROUND((F110*(I113*G110/3600)),4)</f>
        <v>0.03</v>
      </c>
      <c r="N113" s="319">
        <f>ROUND(((E110*(J113*H110/1000))),4)</f>
        <v>1.8800000000000001E-2</v>
      </c>
      <c r="O113" s="575"/>
    </row>
    <row r="114" spans="1:17" s="91" customFormat="1" ht="15" customHeight="1" x14ac:dyDescent="0.2">
      <c r="A114" s="561"/>
      <c r="B114" s="561"/>
      <c r="C114" s="561"/>
      <c r="D114" s="561"/>
      <c r="E114" s="561"/>
      <c r="F114" s="562"/>
      <c r="G114" s="562"/>
      <c r="H114" s="562"/>
      <c r="I114" s="321">
        <v>0.7</v>
      </c>
      <c r="J114" s="321">
        <v>3</v>
      </c>
      <c r="K114" s="567" t="s">
        <v>638</v>
      </c>
      <c r="L114" s="566" t="s">
        <v>208</v>
      </c>
      <c r="M114" s="319">
        <f>ROUND((F110*(I114*G110/3600)),4)</f>
        <v>5.7999999999999996E-3</v>
      </c>
      <c r="N114" s="319">
        <f>ROUND(((E110*(J114*H110/1000))),4)</f>
        <v>3.8E-3</v>
      </c>
      <c r="O114" s="575"/>
    </row>
    <row r="115" spans="1:17" s="91" customFormat="1" ht="15" customHeight="1" x14ac:dyDescent="0.2">
      <c r="A115" s="561"/>
      <c r="B115" s="561"/>
      <c r="C115" s="561"/>
      <c r="D115" s="561"/>
      <c r="E115" s="561"/>
      <c r="F115" s="562"/>
      <c r="G115" s="562"/>
      <c r="H115" s="562"/>
      <c r="I115" s="321">
        <v>1.1000000000000001</v>
      </c>
      <c r="J115" s="321">
        <v>4.5</v>
      </c>
      <c r="K115" s="567" t="s">
        <v>246</v>
      </c>
      <c r="L115" s="566" t="s">
        <v>204</v>
      </c>
      <c r="M115" s="319">
        <f>ROUND((F110*(I115*G110/3600)),4)</f>
        <v>9.1999999999999998E-3</v>
      </c>
      <c r="N115" s="319">
        <f>ROUND(((E110*(J115*H110/1000))),4)</f>
        <v>5.5999999999999999E-3</v>
      </c>
    </row>
    <row r="116" spans="1:17" s="91" customFormat="1" ht="15" customHeight="1" x14ac:dyDescent="0.2">
      <c r="A116" s="561"/>
      <c r="B116" s="561"/>
      <c r="C116" s="561"/>
      <c r="D116" s="561"/>
      <c r="E116" s="561"/>
      <c r="F116" s="562"/>
      <c r="G116" s="562"/>
      <c r="H116" s="562"/>
      <c r="I116" s="568">
        <v>0.15</v>
      </c>
      <c r="J116" s="568">
        <v>0.6</v>
      </c>
      <c r="K116" s="567" t="s">
        <v>248</v>
      </c>
      <c r="L116" s="566" t="s">
        <v>249</v>
      </c>
      <c r="M116" s="319">
        <f>ROUND((F110*(I116*G110/3600)),4)</f>
        <v>1.2999999999999999E-3</v>
      </c>
      <c r="N116" s="319">
        <f>ROUND(((E110*(J116*H110/1000))),5)</f>
        <v>7.5000000000000002E-4</v>
      </c>
    </row>
    <row r="117" spans="1:17" s="91" customFormat="1" ht="15" customHeight="1" x14ac:dyDescent="0.2">
      <c r="A117" s="569"/>
      <c r="B117" s="569"/>
      <c r="C117" s="569"/>
      <c r="D117" s="570"/>
      <c r="E117" s="569"/>
      <c r="F117" s="571"/>
      <c r="G117" s="571"/>
      <c r="H117" s="571"/>
      <c r="I117" s="321">
        <v>1.2999999999999999E-5</v>
      </c>
      <c r="J117" s="321">
        <v>5.5000000000000002E-5</v>
      </c>
      <c r="K117" s="567" t="s">
        <v>639</v>
      </c>
      <c r="L117" s="566" t="s">
        <v>640</v>
      </c>
      <c r="M117" s="319">
        <f>ROUND((F110*(I117*G110/3600)),7)</f>
        <v>9.9999999999999995E-8</v>
      </c>
      <c r="N117" s="319">
        <f>ROUND(((E110*(J117*H110/1000))),7)</f>
        <v>9.9999999999999995E-8</v>
      </c>
      <c r="O117" s="91">
        <f>SUM(M110:M117)</f>
        <v>0.18620009999999995</v>
      </c>
      <c r="P117" s="91">
        <f>SUM(N110:N117)</f>
        <v>0.11645009999999999</v>
      </c>
    </row>
    <row r="118" spans="1:17" s="554" customFormat="1" ht="15" customHeight="1" x14ac:dyDescent="0.2">
      <c r="A118" s="572" t="s">
        <v>545</v>
      </c>
      <c r="B118" s="862" t="s">
        <v>641</v>
      </c>
      <c r="C118" s="523" t="s">
        <v>245</v>
      </c>
      <c r="D118" s="523" t="s">
        <v>188</v>
      </c>
      <c r="E118" s="523">
        <v>1</v>
      </c>
      <c r="F118" s="523">
        <v>1</v>
      </c>
      <c r="G118" s="523">
        <v>50</v>
      </c>
      <c r="H118" s="344">
        <v>2.0762999999999998</v>
      </c>
      <c r="I118" s="488">
        <v>7.2</v>
      </c>
      <c r="J118" s="488">
        <v>30</v>
      </c>
      <c r="K118" s="559" t="s">
        <v>170</v>
      </c>
      <c r="L118" s="33" t="s">
        <v>162</v>
      </c>
      <c r="M118" s="28">
        <f>ROUND((F118*(I118*G118/3600)),4)</f>
        <v>0.1</v>
      </c>
      <c r="N118" s="28">
        <f>ROUND((E118*(J118*H118/1000)),4)</f>
        <v>6.2300000000000001E-2</v>
      </c>
    </row>
    <row r="119" spans="1:17" s="91" customFormat="1" ht="15" customHeight="1" x14ac:dyDescent="0.2">
      <c r="A119" s="345"/>
      <c r="B119" s="1020"/>
      <c r="C119" s="561"/>
      <c r="D119" s="561"/>
      <c r="E119" s="561"/>
      <c r="F119" s="562"/>
      <c r="G119" s="562"/>
      <c r="H119" s="562"/>
      <c r="I119" s="562">
        <v>10.3</v>
      </c>
      <c r="J119" s="562">
        <v>43</v>
      </c>
      <c r="K119" s="563" t="s">
        <v>200</v>
      </c>
      <c r="L119" s="564" t="s">
        <v>153</v>
      </c>
      <c r="M119" s="319">
        <f>ROUND(((F118*(I119*G118/3600))*0.8),4)</f>
        <v>0.1144</v>
      </c>
      <c r="N119" s="319">
        <f>ROUND(((E118*(J119*H118/1000))*0.8),4)</f>
        <v>7.1400000000000005E-2</v>
      </c>
      <c r="Q119" s="289"/>
    </row>
    <row r="120" spans="1:17" s="91" customFormat="1" ht="15" customHeight="1" x14ac:dyDescent="0.2">
      <c r="A120" s="561"/>
      <c r="B120" s="1020"/>
      <c r="C120" s="561"/>
      <c r="D120" s="561"/>
      <c r="E120" s="561"/>
      <c r="F120" s="562"/>
      <c r="G120" s="562"/>
      <c r="H120" s="562"/>
      <c r="I120" s="562"/>
      <c r="J120" s="562"/>
      <c r="K120" s="563" t="s">
        <v>201</v>
      </c>
      <c r="L120" s="564" t="s">
        <v>202</v>
      </c>
      <c r="M120" s="319">
        <f>ROUND(((F118*(I119*G118/3600))*0.13),4)</f>
        <v>1.8599999999999998E-2</v>
      </c>
      <c r="N120" s="319">
        <f>ROUND(((E118*(J119*H118/1000))*0.13),4)</f>
        <v>1.1599999999999999E-2</v>
      </c>
    </row>
    <row r="121" spans="1:17" s="91" customFormat="1" ht="15" customHeight="1" x14ac:dyDescent="0.2">
      <c r="A121" s="561"/>
      <c r="B121" s="561"/>
      <c r="C121" s="561"/>
      <c r="D121" s="561"/>
      <c r="E121" s="561"/>
      <c r="F121" s="562"/>
      <c r="G121" s="562"/>
      <c r="H121" s="562"/>
      <c r="I121" s="321">
        <v>3.6</v>
      </c>
      <c r="J121" s="321">
        <v>15</v>
      </c>
      <c r="K121" s="565" t="s">
        <v>247</v>
      </c>
      <c r="L121" s="566">
        <v>2754</v>
      </c>
      <c r="M121" s="319">
        <f>ROUND((F118*(I121*G118/3600)),4)</f>
        <v>0.05</v>
      </c>
      <c r="N121" s="319">
        <f>ROUND(((E118*(J121*H118/1000))),4)</f>
        <v>3.1099999999999999E-2</v>
      </c>
    </row>
    <row r="122" spans="1:17" s="91" customFormat="1" ht="15" customHeight="1" x14ac:dyDescent="0.2">
      <c r="A122" s="561"/>
      <c r="B122" s="561"/>
      <c r="C122" s="561"/>
      <c r="D122" s="561"/>
      <c r="E122" s="561"/>
      <c r="F122" s="562"/>
      <c r="G122" s="562"/>
      <c r="H122" s="562"/>
      <c r="I122" s="321">
        <v>0.7</v>
      </c>
      <c r="J122" s="321">
        <v>3</v>
      </c>
      <c r="K122" s="567" t="s">
        <v>638</v>
      </c>
      <c r="L122" s="566" t="s">
        <v>208</v>
      </c>
      <c r="M122" s="319">
        <f>ROUND((F118*(I122*G118/3600)),4)</f>
        <v>9.7000000000000003E-3</v>
      </c>
      <c r="N122" s="319">
        <f>ROUND(((E118*(J122*H118/1000))),4)</f>
        <v>6.1999999999999998E-3</v>
      </c>
    </row>
    <row r="123" spans="1:17" s="91" customFormat="1" ht="15" customHeight="1" x14ac:dyDescent="0.2">
      <c r="A123" s="561"/>
      <c r="B123" s="561"/>
      <c r="C123" s="561"/>
      <c r="D123" s="561"/>
      <c r="E123" s="561"/>
      <c r="F123" s="562"/>
      <c r="G123" s="562"/>
      <c r="H123" s="562"/>
      <c r="I123" s="321">
        <v>1.1000000000000001</v>
      </c>
      <c r="J123" s="321">
        <v>4.5</v>
      </c>
      <c r="K123" s="567" t="s">
        <v>246</v>
      </c>
      <c r="L123" s="566" t="s">
        <v>204</v>
      </c>
      <c r="M123" s="319">
        <f>ROUND((F118*(I123*G118/3600)),4)</f>
        <v>1.5299999999999999E-2</v>
      </c>
      <c r="N123" s="319">
        <f>ROUND(((E118*(J123*H118/1000))),4)</f>
        <v>9.2999999999999992E-3</v>
      </c>
    </row>
    <row r="124" spans="1:17" s="91" customFormat="1" ht="15" customHeight="1" x14ac:dyDescent="0.2">
      <c r="A124" s="561"/>
      <c r="B124" s="561"/>
      <c r="C124" s="561"/>
      <c r="D124" s="561"/>
      <c r="E124" s="561"/>
      <c r="F124" s="562"/>
      <c r="G124" s="562"/>
      <c r="H124" s="562"/>
      <c r="I124" s="568">
        <v>0.15</v>
      </c>
      <c r="J124" s="568">
        <v>0.6</v>
      </c>
      <c r="K124" s="567" t="s">
        <v>248</v>
      </c>
      <c r="L124" s="566" t="s">
        <v>249</v>
      </c>
      <c r="M124" s="319">
        <f>ROUND((F118*(I124*G118/3600)),4)</f>
        <v>2.0999999999999999E-3</v>
      </c>
      <c r="N124" s="319">
        <f>ROUND(((E118*(J124*H118/1000))),5)</f>
        <v>1.25E-3</v>
      </c>
    </row>
    <row r="125" spans="1:17" s="91" customFormat="1" ht="15" customHeight="1" x14ac:dyDescent="0.2">
      <c r="A125" s="569"/>
      <c r="B125" s="569"/>
      <c r="C125" s="569"/>
      <c r="D125" s="570"/>
      <c r="E125" s="569"/>
      <c r="F125" s="571"/>
      <c r="G125" s="571"/>
      <c r="H125" s="571"/>
      <c r="I125" s="321">
        <v>1.2999999999999999E-5</v>
      </c>
      <c r="J125" s="321">
        <v>5.5000000000000002E-5</v>
      </c>
      <c r="K125" s="567" t="s">
        <v>639</v>
      </c>
      <c r="L125" s="566" t="s">
        <v>640</v>
      </c>
      <c r="M125" s="319">
        <f>ROUND((F118*(I125*G118/3600)),7)</f>
        <v>1.9999999999999999E-7</v>
      </c>
      <c r="N125" s="319">
        <f>ROUND(((E118*(J125*H118/1000))),9)</f>
        <v>1.14E-7</v>
      </c>
      <c r="O125" s="91">
        <f>SUM(M118:M125)</f>
        <v>0.31010019999999999</v>
      </c>
      <c r="P125" s="91">
        <f>SUM(N118:N125)</f>
        <v>0.19315011400000001</v>
      </c>
    </row>
    <row r="126" spans="1:17" s="138" customFormat="1" ht="15" customHeight="1" x14ac:dyDescent="0.2">
      <c r="A126" s="1021" t="s">
        <v>111</v>
      </c>
      <c r="B126" s="1022"/>
      <c r="C126" s="1022"/>
      <c r="D126" s="1022"/>
      <c r="E126" s="1022"/>
      <c r="F126" s="1022"/>
      <c r="G126" s="1022"/>
      <c r="H126" s="1022"/>
      <c r="I126" s="1022"/>
      <c r="J126" s="1022"/>
      <c r="K126" s="1022"/>
      <c r="L126" s="1022"/>
      <c r="M126" s="1022"/>
      <c r="N126" s="1023"/>
      <c r="O126" s="672">
        <f>SUM(O117:O125)</f>
        <v>0.49630029999999992</v>
      </c>
      <c r="P126" s="673">
        <f>SUM(P117:P125)</f>
        <v>0.30960021399999998</v>
      </c>
      <c r="Q126" s="674">
        <v>2037</v>
      </c>
    </row>
    <row r="127" spans="1:17" s="554" customFormat="1" ht="15" customHeight="1" x14ac:dyDescent="0.2">
      <c r="A127" s="557" t="s">
        <v>544</v>
      </c>
      <c r="B127" s="1020" t="s">
        <v>251</v>
      </c>
      <c r="C127" s="523" t="s">
        <v>245</v>
      </c>
      <c r="D127" s="523" t="s">
        <v>188</v>
      </c>
      <c r="E127" s="523">
        <v>1</v>
      </c>
      <c r="F127" s="523">
        <v>1</v>
      </c>
      <c r="G127" s="523">
        <v>30</v>
      </c>
      <c r="H127" s="523">
        <v>1.25</v>
      </c>
      <c r="I127" s="558">
        <v>7.2</v>
      </c>
      <c r="J127" s="558">
        <v>30</v>
      </c>
      <c r="K127" s="559" t="s">
        <v>170</v>
      </c>
      <c r="L127" s="560" t="s">
        <v>162</v>
      </c>
      <c r="M127" s="556">
        <f>ROUND((F127*(I127*G127/3600)),4)</f>
        <v>0.06</v>
      </c>
      <c r="N127" s="556">
        <f>ROUND((E127*(J127*H127/1000)),4)</f>
        <v>3.7499999999999999E-2</v>
      </c>
      <c r="O127" s="575"/>
    </row>
    <row r="128" spans="1:17" s="91" customFormat="1" ht="15" customHeight="1" x14ac:dyDescent="0.2">
      <c r="A128" s="345"/>
      <c r="B128" s="1020"/>
      <c r="C128" s="561"/>
      <c r="D128" s="561"/>
      <c r="E128" s="561"/>
      <c r="F128" s="562"/>
      <c r="G128" s="562"/>
      <c r="H128" s="562"/>
      <c r="I128" s="562">
        <v>10.3</v>
      </c>
      <c r="J128" s="562">
        <v>43</v>
      </c>
      <c r="K128" s="563" t="s">
        <v>200</v>
      </c>
      <c r="L128" s="564" t="s">
        <v>153</v>
      </c>
      <c r="M128" s="319">
        <f>ROUND(((F127*(I128*G127/3600))*0.8),4)</f>
        <v>6.8699999999999997E-2</v>
      </c>
      <c r="N128" s="319">
        <f>ROUND(((E127*(J128*H127/1000))*0.8),4)</f>
        <v>4.2999999999999997E-2</v>
      </c>
      <c r="O128" s="575"/>
      <c r="Q128" s="289"/>
    </row>
    <row r="129" spans="1:17" s="91" customFormat="1" ht="15" customHeight="1" x14ac:dyDescent="0.2">
      <c r="A129" s="561"/>
      <c r="B129" s="1020"/>
      <c r="C129" s="561"/>
      <c r="D129" s="561"/>
      <c r="E129" s="561"/>
      <c r="F129" s="562"/>
      <c r="G129" s="562"/>
      <c r="H129" s="562"/>
      <c r="I129" s="562"/>
      <c r="J129" s="562"/>
      <c r="K129" s="563" t="s">
        <v>201</v>
      </c>
      <c r="L129" s="564" t="s">
        <v>202</v>
      </c>
      <c r="M129" s="319">
        <f>ROUND(((F127*(I128*G127/3600))*0.13),4)</f>
        <v>1.12E-2</v>
      </c>
      <c r="N129" s="319">
        <f>ROUND(((E127*(J128*H127/1000))*0.13),4)</f>
        <v>7.0000000000000001E-3</v>
      </c>
      <c r="O129" s="575"/>
    </row>
    <row r="130" spans="1:17" s="91" customFormat="1" ht="15" customHeight="1" x14ac:dyDescent="0.2">
      <c r="A130" s="561"/>
      <c r="B130" s="561"/>
      <c r="C130" s="561"/>
      <c r="D130" s="561"/>
      <c r="E130" s="561"/>
      <c r="F130" s="562"/>
      <c r="G130" s="562"/>
      <c r="H130" s="562"/>
      <c r="I130" s="321">
        <v>3.6</v>
      </c>
      <c r="J130" s="321">
        <v>15</v>
      </c>
      <c r="K130" s="565" t="s">
        <v>247</v>
      </c>
      <c r="L130" s="566">
        <v>2754</v>
      </c>
      <c r="M130" s="319">
        <f>ROUND((F127*(I130*G127/3600)),4)</f>
        <v>0.03</v>
      </c>
      <c r="N130" s="319">
        <f>ROUND(((E127*(J130*H127/1000))),4)</f>
        <v>1.8800000000000001E-2</v>
      </c>
      <c r="O130" s="575"/>
    </row>
    <row r="131" spans="1:17" s="91" customFormat="1" ht="15" customHeight="1" x14ac:dyDescent="0.2">
      <c r="A131" s="561"/>
      <c r="B131" s="561"/>
      <c r="C131" s="561"/>
      <c r="D131" s="561"/>
      <c r="E131" s="561"/>
      <c r="F131" s="562"/>
      <c r="G131" s="562"/>
      <c r="H131" s="562"/>
      <c r="I131" s="321">
        <v>0.7</v>
      </c>
      <c r="J131" s="321">
        <v>3</v>
      </c>
      <c r="K131" s="567" t="s">
        <v>638</v>
      </c>
      <c r="L131" s="566" t="s">
        <v>208</v>
      </c>
      <c r="M131" s="319">
        <f>ROUND((F127*(I131*G127/3600)),4)</f>
        <v>5.7999999999999996E-3</v>
      </c>
      <c r="N131" s="319">
        <f>ROUND(((E127*(J131*H127/1000))),4)</f>
        <v>3.8E-3</v>
      </c>
      <c r="O131" s="575"/>
    </row>
    <row r="132" spans="1:17" s="91" customFormat="1" ht="15" customHeight="1" x14ac:dyDescent="0.2">
      <c r="A132" s="561"/>
      <c r="B132" s="561"/>
      <c r="C132" s="561"/>
      <c r="D132" s="561"/>
      <c r="E132" s="561"/>
      <c r="F132" s="562"/>
      <c r="G132" s="562"/>
      <c r="H132" s="562"/>
      <c r="I132" s="321">
        <v>1.1000000000000001</v>
      </c>
      <c r="J132" s="321">
        <v>4.5</v>
      </c>
      <c r="K132" s="567" t="s">
        <v>246</v>
      </c>
      <c r="L132" s="566" t="s">
        <v>204</v>
      </c>
      <c r="M132" s="319">
        <f>ROUND((F127*(I132*G127/3600)),4)</f>
        <v>9.1999999999999998E-3</v>
      </c>
      <c r="N132" s="319">
        <f>ROUND(((E127*(J132*H127/1000))),4)</f>
        <v>5.5999999999999999E-3</v>
      </c>
    </row>
    <row r="133" spans="1:17" s="91" customFormat="1" ht="15" customHeight="1" x14ac:dyDescent="0.2">
      <c r="A133" s="561"/>
      <c r="B133" s="561"/>
      <c r="C133" s="561"/>
      <c r="D133" s="561"/>
      <c r="E133" s="561"/>
      <c r="F133" s="562"/>
      <c r="G133" s="562"/>
      <c r="H133" s="562"/>
      <c r="I133" s="568">
        <v>0.15</v>
      </c>
      <c r="J133" s="568">
        <v>0.6</v>
      </c>
      <c r="K133" s="567" t="s">
        <v>248</v>
      </c>
      <c r="L133" s="566" t="s">
        <v>249</v>
      </c>
      <c r="M133" s="319">
        <f>ROUND((F127*(I133*G127/3600)),4)</f>
        <v>1.2999999999999999E-3</v>
      </c>
      <c r="N133" s="319">
        <f>ROUND(((E127*(J133*H127/1000))),5)</f>
        <v>7.5000000000000002E-4</v>
      </c>
    </row>
    <row r="134" spans="1:17" s="91" customFormat="1" ht="15" customHeight="1" x14ac:dyDescent="0.2">
      <c r="A134" s="569"/>
      <c r="B134" s="569"/>
      <c r="C134" s="569"/>
      <c r="D134" s="570"/>
      <c r="E134" s="569"/>
      <c r="F134" s="571"/>
      <c r="G134" s="571"/>
      <c r="H134" s="571"/>
      <c r="I134" s="321">
        <v>1.2999999999999999E-5</v>
      </c>
      <c r="J134" s="321">
        <v>5.5000000000000002E-5</v>
      </c>
      <c r="K134" s="567" t="s">
        <v>639</v>
      </c>
      <c r="L134" s="566" t="s">
        <v>640</v>
      </c>
      <c r="M134" s="319">
        <f>ROUND((F127*(I134*G127/3600)),7)</f>
        <v>9.9999999999999995E-8</v>
      </c>
      <c r="N134" s="319">
        <f>ROUND(((E127*(J134*H127/1000))),7)</f>
        <v>9.9999999999999995E-8</v>
      </c>
      <c r="O134" s="91">
        <f>SUM(M127:M134)</f>
        <v>0.18620009999999995</v>
      </c>
      <c r="P134" s="91">
        <f>SUM(N127:N134)</f>
        <v>0.11645009999999999</v>
      </c>
    </row>
    <row r="135" spans="1:17" s="554" customFormat="1" ht="15" customHeight="1" x14ac:dyDescent="0.2">
      <c r="A135" s="572" t="s">
        <v>545</v>
      </c>
      <c r="B135" s="862" t="s">
        <v>641</v>
      </c>
      <c r="C135" s="523" t="s">
        <v>245</v>
      </c>
      <c r="D135" s="523" t="s">
        <v>188</v>
      </c>
      <c r="E135" s="523">
        <v>1</v>
      </c>
      <c r="F135" s="523">
        <v>1</v>
      </c>
      <c r="G135" s="523">
        <v>50</v>
      </c>
      <c r="H135" s="344">
        <v>2.0762999999999998</v>
      </c>
      <c r="I135" s="488">
        <v>7.2</v>
      </c>
      <c r="J135" s="488">
        <v>30</v>
      </c>
      <c r="K135" s="559" t="s">
        <v>170</v>
      </c>
      <c r="L135" s="33" t="s">
        <v>162</v>
      </c>
      <c r="M135" s="28">
        <f>ROUND((F135*(I135*G135/3600)),4)</f>
        <v>0.1</v>
      </c>
      <c r="N135" s="28">
        <f>ROUND((E135*(J135*H135/1000)),4)</f>
        <v>6.2300000000000001E-2</v>
      </c>
    </row>
    <row r="136" spans="1:17" s="91" customFormat="1" ht="15" customHeight="1" x14ac:dyDescent="0.2">
      <c r="A136" s="345"/>
      <c r="B136" s="1020"/>
      <c r="C136" s="561"/>
      <c r="D136" s="561"/>
      <c r="E136" s="561"/>
      <c r="F136" s="562"/>
      <c r="G136" s="562"/>
      <c r="H136" s="562"/>
      <c r="I136" s="562">
        <v>10.3</v>
      </c>
      <c r="J136" s="562">
        <v>43</v>
      </c>
      <c r="K136" s="563" t="s">
        <v>200</v>
      </c>
      <c r="L136" s="564" t="s">
        <v>153</v>
      </c>
      <c r="M136" s="319">
        <f>ROUND(((F135*(I136*G135/3600))*0.8),4)</f>
        <v>0.1144</v>
      </c>
      <c r="N136" s="319">
        <f>ROUND(((E135*(J136*H135/1000))*0.8),4)</f>
        <v>7.1400000000000005E-2</v>
      </c>
      <c r="Q136" s="289"/>
    </row>
    <row r="137" spans="1:17" s="91" customFormat="1" ht="15" customHeight="1" x14ac:dyDescent="0.2">
      <c r="A137" s="561"/>
      <c r="B137" s="1020"/>
      <c r="C137" s="561"/>
      <c r="D137" s="561"/>
      <c r="E137" s="561"/>
      <c r="F137" s="562"/>
      <c r="G137" s="562"/>
      <c r="H137" s="562"/>
      <c r="I137" s="562"/>
      <c r="J137" s="562"/>
      <c r="K137" s="563" t="s">
        <v>201</v>
      </c>
      <c r="L137" s="564" t="s">
        <v>202</v>
      </c>
      <c r="M137" s="319">
        <f>ROUND(((F135*(I136*G135/3600))*0.13),4)</f>
        <v>1.8599999999999998E-2</v>
      </c>
      <c r="N137" s="319">
        <f>ROUND(((E135*(J136*H135/1000))*0.13),4)</f>
        <v>1.1599999999999999E-2</v>
      </c>
    </row>
    <row r="138" spans="1:17" s="91" customFormat="1" ht="15" customHeight="1" x14ac:dyDescent="0.2">
      <c r="A138" s="561"/>
      <c r="B138" s="561"/>
      <c r="C138" s="561"/>
      <c r="D138" s="561"/>
      <c r="E138" s="561"/>
      <c r="F138" s="562"/>
      <c r="G138" s="562"/>
      <c r="H138" s="562"/>
      <c r="I138" s="321">
        <v>3.6</v>
      </c>
      <c r="J138" s="321">
        <v>15</v>
      </c>
      <c r="K138" s="565" t="s">
        <v>247</v>
      </c>
      <c r="L138" s="566">
        <v>2754</v>
      </c>
      <c r="M138" s="319">
        <f>ROUND((F135*(I138*G135/3600)),4)</f>
        <v>0.05</v>
      </c>
      <c r="N138" s="319">
        <f>ROUND(((E135*(J138*H135/1000))),4)</f>
        <v>3.1099999999999999E-2</v>
      </c>
    </row>
    <row r="139" spans="1:17" s="91" customFormat="1" ht="15" customHeight="1" x14ac:dyDescent="0.2">
      <c r="A139" s="561"/>
      <c r="B139" s="561"/>
      <c r="C139" s="561"/>
      <c r="D139" s="561"/>
      <c r="E139" s="561"/>
      <c r="F139" s="562"/>
      <c r="G139" s="562"/>
      <c r="H139" s="562"/>
      <c r="I139" s="321">
        <v>0.7</v>
      </c>
      <c r="J139" s="321">
        <v>3</v>
      </c>
      <c r="K139" s="567" t="s">
        <v>638</v>
      </c>
      <c r="L139" s="566" t="s">
        <v>208</v>
      </c>
      <c r="M139" s="319">
        <f>ROUND((F135*(I139*G135/3600)),4)</f>
        <v>9.7000000000000003E-3</v>
      </c>
      <c r="N139" s="319">
        <f>ROUND(((E135*(J139*H135/1000))),4)</f>
        <v>6.1999999999999998E-3</v>
      </c>
    </row>
    <row r="140" spans="1:17" s="91" customFormat="1" ht="15" customHeight="1" x14ac:dyDescent="0.2">
      <c r="A140" s="561"/>
      <c r="B140" s="561"/>
      <c r="C140" s="561"/>
      <c r="D140" s="561"/>
      <c r="E140" s="561"/>
      <c r="F140" s="562"/>
      <c r="G140" s="562"/>
      <c r="H140" s="562"/>
      <c r="I140" s="321">
        <v>1.1000000000000001</v>
      </c>
      <c r="J140" s="321">
        <v>4.5</v>
      </c>
      <c r="K140" s="567" t="s">
        <v>246</v>
      </c>
      <c r="L140" s="566" t="s">
        <v>204</v>
      </c>
      <c r="M140" s="319">
        <f>ROUND((F135*(I140*G135/3600)),4)</f>
        <v>1.5299999999999999E-2</v>
      </c>
      <c r="N140" s="319">
        <f>ROUND(((E135*(J140*H135/1000))),4)</f>
        <v>9.2999999999999992E-3</v>
      </c>
    </row>
    <row r="141" spans="1:17" s="91" customFormat="1" ht="15" customHeight="1" x14ac:dyDescent="0.2">
      <c r="A141" s="561"/>
      <c r="B141" s="561"/>
      <c r="C141" s="561"/>
      <c r="D141" s="561"/>
      <c r="E141" s="561"/>
      <c r="F141" s="562"/>
      <c r="G141" s="562"/>
      <c r="H141" s="562"/>
      <c r="I141" s="568">
        <v>0.15</v>
      </c>
      <c r="J141" s="568">
        <v>0.6</v>
      </c>
      <c r="K141" s="567" t="s">
        <v>248</v>
      </c>
      <c r="L141" s="566" t="s">
        <v>249</v>
      </c>
      <c r="M141" s="319">
        <f>ROUND((F135*(I141*G135/3600)),4)</f>
        <v>2.0999999999999999E-3</v>
      </c>
      <c r="N141" s="319">
        <f>ROUND(((E135*(J141*H135/1000))),5)</f>
        <v>1.25E-3</v>
      </c>
    </row>
    <row r="142" spans="1:17" s="91" customFormat="1" ht="15" customHeight="1" x14ac:dyDescent="0.2">
      <c r="A142" s="569"/>
      <c r="B142" s="569"/>
      <c r="C142" s="569"/>
      <c r="D142" s="570"/>
      <c r="E142" s="569"/>
      <c r="F142" s="571"/>
      <c r="G142" s="571"/>
      <c r="H142" s="571"/>
      <c r="I142" s="321">
        <v>1.2999999999999999E-5</v>
      </c>
      <c r="J142" s="321">
        <v>5.5000000000000002E-5</v>
      </c>
      <c r="K142" s="567" t="s">
        <v>639</v>
      </c>
      <c r="L142" s="566" t="s">
        <v>640</v>
      </c>
      <c r="M142" s="319">
        <f>ROUND((F135*(I142*G135/3600)),7)</f>
        <v>1.9999999999999999E-7</v>
      </c>
      <c r="N142" s="319">
        <f>ROUND(((E135*(J142*H135/1000))),9)</f>
        <v>1.14E-7</v>
      </c>
      <c r="O142" s="91">
        <f>SUM(M135:M142)</f>
        <v>0.31010019999999999</v>
      </c>
      <c r="P142" s="91">
        <f>SUM(N135:N142)</f>
        <v>0.19315011400000001</v>
      </c>
    </row>
    <row r="143" spans="1:17" s="138" customFormat="1" ht="15" customHeight="1" x14ac:dyDescent="0.2">
      <c r="A143" s="1021" t="s">
        <v>112</v>
      </c>
      <c r="B143" s="1022"/>
      <c r="C143" s="1022"/>
      <c r="D143" s="1022"/>
      <c r="E143" s="1022"/>
      <c r="F143" s="1022"/>
      <c r="G143" s="1022"/>
      <c r="H143" s="1022"/>
      <c r="I143" s="1022"/>
      <c r="J143" s="1022"/>
      <c r="K143" s="1022"/>
      <c r="L143" s="1022"/>
      <c r="M143" s="1022"/>
      <c r="N143" s="1023"/>
      <c r="O143" s="672">
        <f>SUM(O134:O142)</f>
        <v>0.49630029999999992</v>
      </c>
      <c r="P143" s="673">
        <f>SUM(P134:P142)</f>
        <v>0.30960021399999998</v>
      </c>
      <c r="Q143" s="674">
        <v>2038</v>
      </c>
    </row>
    <row r="144" spans="1:17" s="554" customFormat="1" ht="15" customHeight="1" x14ac:dyDescent="0.2">
      <c r="A144" s="557" t="s">
        <v>544</v>
      </c>
      <c r="B144" s="1020" t="s">
        <v>251</v>
      </c>
      <c r="C144" s="523" t="s">
        <v>245</v>
      </c>
      <c r="D144" s="523" t="s">
        <v>188</v>
      </c>
      <c r="E144" s="523">
        <v>1</v>
      </c>
      <c r="F144" s="523">
        <v>1</v>
      </c>
      <c r="G144" s="523">
        <v>30</v>
      </c>
      <c r="H144" s="523">
        <v>1</v>
      </c>
      <c r="I144" s="558">
        <v>7.2</v>
      </c>
      <c r="J144" s="558">
        <v>30</v>
      </c>
      <c r="K144" s="559" t="s">
        <v>170</v>
      </c>
      <c r="L144" s="560" t="s">
        <v>162</v>
      </c>
      <c r="M144" s="556">
        <f>ROUND((F144*(I144*G144/3600)),4)</f>
        <v>0.06</v>
      </c>
      <c r="N144" s="556">
        <f>ROUND((E144*(J144*H144/1000)),4)</f>
        <v>0.03</v>
      </c>
      <c r="O144" s="575"/>
    </row>
    <row r="145" spans="1:17" s="91" customFormat="1" ht="15" customHeight="1" x14ac:dyDescent="0.2">
      <c r="A145" s="345"/>
      <c r="B145" s="1020"/>
      <c r="C145" s="561"/>
      <c r="D145" s="561"/>
      <c r="E145" s="561"/>
      <c r="F145" s="562"/>
      <c r="G145" s="562"/>
      <c r="H145" s="562"/>
      <c r="I145" s="562">
        <v>10.3</v>
      </c>
      <c r="J145" s="562">
        <v>43</v>
      </c>
      <c r="K145" s="563" t="s">
        <v>200</v>
      </c>
      <c r="L145" s="564" t="s">
        <v>153</v>
      </c>
      <c r="M145" s="319">
        <f>ROUND(((F144*(I145*G144/3600))*0.8),4)</f>
        <v>6.8699999999999997E-2</v>
      </c>
      <c r="N145" s="319">
        <f>ROUND(((E144*(J145*H144/1000))*0.8),4)</f>
        <v>3.44E-2</v>
      </c>
      <c r="O145" s="575"/>
      <c r="Q145" s="289"/>
    </row>
    <row r="146" spans="1:17" s="91" customFormat="1" ht="15" customHeight="1" x14ac:dyDescent="0.2">
      <c r="A146" s="561"/>
      <c r="B146" s="1020"/>
      <c r="C146" s="561"/>
      <c r="D146" s="561"/>
      <c r="E146" s="561"/>
      <c r="F146" s="562"/>
      <c r="G146" s="562"/>
      <c r="H146" s="562"/>
      <c r="I146" s="562"/>
      <c r="J146" s="562"/>
      <c r="K146" s="563" t="s">
        <v>201</v>
      </c>
      <c r="L146" s="564" t="s">
        <v>202</v>
      </c>
      <c r="M146" s="319">
        <f>ROUND(((F144*(I145*G144/3600))*0.13),4)</f>
        <v>1.12E-2</v>
      </c>
      <c r="N146" s="319">
        <f>ROUND(((E144*(J145*H144/1000))*0.13),4)</f>
        <v>5.5999999999999999E-3</v>
      </c>
      <c r="O146" s="575"/>
    </row>
    <row r="147" spans="1:17" s="91" customFormat="1" ht="15" customHeight="1" x14ac:dyDescent="0.2">
      <c r="A147" s="561"/>
      <c r="B147" s="561"/>
      <c r="C147" s="561"/>
      <c r="D147" s="561"/>
      <c r="E147" s="561"/>
      <c r="F147" s="562"/>
      <c r="G147" s="562"/>
      <c r="H147" s="562"/>
      <c r="I147" s="321">
        <v>3.6</v>
      </c>
      <c r="J147" s="321">
        <v>15</v>
      </c>
      <c r="K147" s="565" t="s">
        <v>247</v>
      </c>
      <c r="L147" s="566">
        <v>2754</v>
      </c>
      <c r="M147" s="319">
        <f>ROUND((F144*(I147*G144/3600)),4)</f>
        <v>0.03</v>
      </c>
      <c r="N147" s="319">
        <f>ROUND(((E144*(J147*H144/1000))),4)</f>
        <v>1.4999999999999999E-2</v>
      </c>
      <c r="O147" s="575"/>
    </row>
    <row r="148" spans="1:17" s="91" customFormat="1" ht="15" customHeight="1" x14ac:dyDescent="0.2">
      <c r="A148" s="561"/>
      <c r="B148" s="561"/>
      <c r="C148" s="561"/>
      <c r="D148" s="561"/>
      <c r="E148" s="561"/>
      <c r="F148" s="562"/>
      <c r="G148" s="562"/>
      <c r="H148" s="562"/>
      <c r="I148" s="321">
        <v>0.7</v>
      </c>
      <c r="J148" s="321">
        <v>3</v>
      </c>
      <c r="K148" s="567" t="s">
        <v>638</v>
      </c>
      <c r="L148" s="566" t="s">
        <v>208</v>
      </c>
      <c r="M148" s="319">
        <f>ROUND((F144*(I148*G144/3600)),4)</f>
        <v>5.7999999999999996E-3</v>
      </c>
      <c r="N148" s="319">
        <f>ROUND(((E144*(J148*H144/1000))),4)</f>
        <v>3.0000000000000001E-3</v>
      </c>
      <c r="O148" s="575"/>
    </row>
    <row r="149" spans="1:17" s="91" customFormat="1" ht="15" customHeight="1" x14ac:dyDescent="0.2">
      <c r="A149" s="561"/>
      <c r="B149" s="561"/>
      <c r="C149" s="561"/>
      <c r="D149" s="561"/>
      <c r="E149" s="561"/>
      <c r="F149" s="562"/>
      <c r="G149" s="562"/>
      <c r="H149" s="562"/>
      <c r="I149" s="321">
        <v>1.1000000000000001</v>
      </c>
      <c r="J149" s="321">
        <v>4.5</v>
      </c>
      <c r="K149" s="567" t="s">
        <v>246</v>
      </c>
      <c r="L149" s="566" t="s">
        <v>204</v>
      </c>
      <c r="M149" s="319">
        <f>ROUND((F144*(I149*G144/3600)),4)</f>
        <v>9.1999999999999998E-3</v>
      </c>
      <c r="N149" s="319">
        <f>ROUND(((E144*(J149*H144/1000))),4)</f>
        <v>4.4999999999999997E-3</v>
      </c>
    </row>
    <row r="150" spans="1:17" s="91" customFormat="1" ht="15" customHeight="1" x14ac:dyDescent="0.2">
      <c r="A150" s="561"/>
      <c r="B150" s="561"/>
      <c r="C150" s="561"/>
      <c r="D150" s="561"/>
      <c r="E150" s="561"/>
      <c r="F150" s="562"/>
      <c r="G150" s="562"/>
      <c r="H150" s="562"/>
      <c r="I150" s="568">
        <v>0.15</v>
      </c>
      <c r="J150" s="568">
        <v>0.6</v>
      </c>
      <c r="K150" s="567" t="s">
        <v>248</v>
      </c>
      <c r="L150" s="566" t="s">
        <v>249</v>
      </c>
      <c r="M150" s="319">
        <f>ROUND((F144*(I150*G144/3600)),4)</f>
        <v>1.2999999999999999E-3</v>
      </c>
      <c r="N150" s="319">
        <f>ROUND(((E144*(J150*H144/1000))),5)</f>
        <v>5.9999999999999995E-4</v>
      </c>
    </row>
    <row r="151" spans="1:17" s="91" customFormat="1" ht="15" customHeight="1" x14ac:dyDescent="0.2">
      <c r="A151" s="569"/>
      <c r="B151" s="569"/>
      <c r="C151" s="569"/>
      <c r="D151" s="570"/>
      <c r="E151" s="569"/>
      <c r="F151" s="571"/>
      <c r="G151" s="571"/>
      <c r="H151" s="571"/>
      <c r="I151" s="321">
        <v>1.2999999999999999E-5</v>
      </c>
      <c r="J151" s="321">
        <v>5.5000000000000002E-5</v>
      </c>
      <c r="K151" s="567" t="s">
        <v>639</v>
      </c>
      <c r="L151" s="566" t="s">
        <v>640</v>
      </c>
      <c r="M151" s="319">
        <f>ROUND((F144*(I151*G144/3600)),7)</f>
        <v>9.9999999999999995E-8</v>
      </c>
      <c r="N151" s="319">
        <f>ROUND(((E144*(J151*H144/1000))),7)</f>
        <v>9.9999999999999995E-8</v>
      </c>
      <c r="O151" s="91">
        <f>SUM(M144:M151)</f>
        <v>0.18620009999999995</v>
      </c>
      <c r="P151" s="91">
        <f>SUM(N144:N151)</f>
        <v>9.3100100000000005E-2</v>
      </c>
    </row>
    <row r="152" spans="1:17" s="554" customFormat="1" ht="15" customHeight="1" x14ac:dyDescent="0.2">
      <c r="A152" s="572" t="s">
        <v>545</v>
      </c>
      <c r="B152" s="862" t="s">
        <v>641</v>
      </c>
      <c r="C152" s="523" t="s">
        <v>245</v>
      </c>
      <c r="D152" s="523" t="s">
        <v>188</v>
      </c>
      <c r="E152" s="523">
        <v>1</v>
      </c>
      <c r="F152" s="523">
        <v>1</v>
      </c>
      <c r="G152" s="523">
        <v>50</v>
      </c>
      <c r="H152" s="344">
        <v>1.661</v>
      </c>
      <c r="I152" s="488">
        <v>7.2</v>
      </c>
      <c r="J152" s="488">
        <v>30</v>
      </c>
      <c r="K152" s="559" t="s">
        <v>170</v>
      </c>
      <c r="L152" s="33" t="s">
        <v>162</v>
      </c>
      <c r="M152" s="28">
        <f>ROUND((F152*(I152*G152/3600)),4)</f>
        <v>0.1</v>
      </c>
      <c r="N152" s="28">
        <f>ROUND((E152*(J152*H152/1000)),4)</f>
        <v>4.9799999999999997E-2</v>
      </c>
    </row>
    <row r="153" spans="1:17" s="91" customFormat="1" ht="15" customHeight="1" x14ac:dyDescent="0.2">
      <c r="A153" s="345"/>
      <c r="B153" s="1020"/>
      <c r="C153" s="561"/>
      <c r="D153" s="561"/>
      <c r="E153" s="561"/>
      <c r="F153" s="562"/>
      <c r="G153" s="562"/>
      <c r="H153" s="562"/>
      <c r="I153" s="562">
        <v>10.3</v>
      </c>
      <c r="J153" s="562">
        <v>43</v>
      </c>
      <c r="K153" s="563" t="s">
        <v>200</v>
      </c>
      <c r="L153" s="564" t="s">
        <v>153</v>
      </c>
      <c r="M153" s="319">
        <f>ROUND(((F152*(I153*G152/3600))*0.8),4)</f>
        <v>0.1144</v>
      </c>
      <c r="N153" s="319">
        <f>ROUND(((E152*(J153*H152/1000))*0.8),4)</f>
        <v>5.7099999999999998E-2</v>
      </c>
      <c r="Q153" s="289"/>
    </row>
    <row r="154" spans="1:17" s="91" customFormat="1" ht="15" customHeight="1" x14ac:dyDescent="0.2">
      <c r="A154" s="561"/>
      <c r="B154" s="1020"/>
      <c r="C154" s="561"/>
      <c r="D154" s="561"/>
      <c r="E154" s="561"/>
      <c r="F154" s="562"/>
      <c r="G154" s="562"/>
      <c r="H154" s="562"/>
      <c r="I154" s="562"/>
      <c r="J154" s="562"/>
      <c r="K154" s="563" t="s">
        <v>201</v>
      </c>
      <c r="L154" s="564" t="s">
        <v>202</v>
      </c>
      <c r="M154" s="319">
        <f>ROUND(((F152*(I153*G152/3600))*0.13),4)</f>
        <v>1.8599999999999998E-2</v>
      </c>
      <c r="N154" s="319">
        <f>ROUND(((E152*(J153*H152/1000))*0.13),4)</f>
        <v>9.2999999999999992E-3</v>
      </c>
    </row>
    <row r="155" spans="1:17" s="91" customFormat="1" ht="15" customHeight="1" x14ac:dyDescent="0.2">
      <c r="A155" s="561"/>
      <c r="B155" s="561"/>
      <c r="C155" s="561"/>
      <c r="D155" s="561"/>
      <c r="E155" s="561"/>
      <c r="F155" s="562"/>
      <c r="G155" s="562"/>
      <c r="H155" s="562"/>
      <c r="I155" s="321">
        <v>3.6</v>
      </c>
      <c r="J155" s="321">
        <v>15</v>
      </c>
      <c r="K155" s="565" t="s">
        <v>247</v>
      </c>
      <c r="L155" s="566">
        <v>2754</v>
      </c>
      <c r="M155" s="319">
        <f>ROUND((F152*(I155*G152/3600)),4)</f>
        <v>0.05</v>
      </c>
      <c r="N155" s="319">
        <f>ROUND(((E152*(J155*H152/1000))),4)</f>
        <v>2.4899999999999999E-2</v>
      </c>
    </row>
    <row r="156" spans="1:17" s="91" customFormat="1" ht="15" customHeight="1" x14ac:dyDescent="0.2">
      <c r="A156" s="561"/>
      <c r="B156" s="561"/>
      <c r="C156" s="561"/>
      <c r="D156" s="561"/>
      <c r="E156" s="561"/>
      <c r="F156" s="562"/>
      <c r="G156" s="562"/>
      <c r="H156" s="562"/>
      <c r="I156" s="321">
        <v>0.7</v>
      </c>
      <c r="J156" s="321">
        <v>3</v>
      </c>
      <c r="K156" s="567" t="s">
        <v>638</v>
      </c>
      <c r="L156" s="566" t="s">
        <v>208</v>
      </c>
      <c r="M156" s="319">
        <f>ROUND((F152*(I156*G152/3600)),4)</f>
        <v>9.7000000000000003E-3</v>
      </c>
      <c r="N156" s="319">
        <f>ROUND(((E152*(J156*H152/1000))),4)</f>
        <v>5.0000000000000001E-3</v>
      </c>
    </row>
    <row r="157" spans="1:17" s="91" customFormat="1" ht="15" customHeight="1" x14ac:dyDescent="0.2">
      <c r="A157" s="561"/>
      <c r="B157" s="561"/>
      <c r="C157" s="561"/>
      <c r="D157" s="561"/>
      <c r="E157" s="561"/>
      <c r="F157" s="562"/>
      <c r="G157" s="562"/>
      <c r="H157" s="562"/>
      <c r="I157" s="321">
        <v>1.1000000000000001</v>
      </c>
      <c r="J157" s="321">
        <v>4.5</v>
      </c>
      <c r="K157" s="567" t="s">
        <v>246</v>
      </c>
      <c r="L157" s="566" t="s">
        <v>204</v>
      </c>
      <c r="M157" s="319">
        <f>ROUND((F152*(I157*G152/3600)),4)</f>
        <v>1.5299999999999999E-2</v>
      </c>
      <c r="N157" s="319">
        <f>ROUND(((E152*(J157*H152/1000))),4)</f>
        <v>7.4999999999999997E-3</v>
      </c>
    </row>
    <row r="158" spans="1:17" s="91" customFormat="1" ht="15" customHeight="1" x14ac:dyDescent="0.2">
      <c r="A158" s="561"/>
      <c r="B158" s="561"/>
      <c r="C158" s="561"/>
      <c r="D158" s="561"/>
      <c r="E158" s="561"/>
      <c r="F158" s="562"/>
      <c r="G158" s="562"/>
      <c r="H158" s="562"/>
      <c r="I158" s="568">
        <v>0.15</v>
      </c>
      <c r="J158" s="568">
        <v>0.6</v>
      </c>
      <c r="K158" s="567" t="s">
        <v>248</v>
      </c>
      <c r="L158" s="566" t="s">
        <v>249</v>
      </c>
      <c r="M158" s="319">
        <f>ROUND((F152*(I158*G152/3600)),4)</f>
        <v>2.0999999999999999E-3</v>
      </c>
      <c r="N158" s="319">
        <f>ROUND(((E152*(J158*H152/1000))),5)</f>
        <v>1E-3</v>
      </c>
    </row>
    <row r="159" spans="1:17" s="91" customFormat="1" ht="15" customHeight="1" x14ac:dyDescent="0.2">
      <c r="A159" s="569"/>
      <c r="B159" s="569"/>
      <c r="C159" s="569"/>
      <c r="D159" s="570"/>
      <c r="E159" s="569"/>
      <c r="F159" s="571"/>
      <c r="G159" s="571"/>
      <c r="H159" s="571"/>
      <c r="I159" s="321">
        <v>1.2999999999999999E-5</v>
      </c>
      <c r="J159" s="321">
        <v>5.5000000000000002E-5</v>
      </c>
      <c r="K159" s="567" t="s">
        <v>639</v>
      </c>
      <c r="L159" s="566" t="s">
        <v>640</v>
      </c>
      <c r="M159" s="319">
        <f>ROUND((F152*(I159*G152/3600)),7)</f>
        <v>1.9999999999999999E-7</v>
      </c>
      <c r="N159" s="319">
        <f>ROUND(((E152*(J159*H152/1000))),9)</f>
        <v>9.0999999999999994E-8</v>
      </c>
      <c r="O159" s="91">
        <f>SUM(M152:M159)</f>
        <v>0.31010019999999999</v>
      </c>
      <c r="P159" s="91">
        <f>SUM(N152:N159)</f>
        <v>0.15460009100000002</v>
      </c>
    </row>
    <row r="160" spans="1:17" s="138" customFormat="1" ht="15" customHeight="1" x14ac:dyDescent="0.2">
      <c r="A160" s="1021" t="s">
        <v>114</v>
      </c>
      <c r="B160" s="1022"/>
      <c r="C160" s="1022"/>
      <c r="D160" s="1022"/>
      <c r="E160" s="1022"/>
      <c r="F160" s="1022"/>
      <c r="G160" s="1022"/>
      <c r="H160" s="1022"/>
      <c r="I160" s="1022"/>
      <c r="J160" s="1022"/>
      <c r="K160" s="1022"/>
      <c r="L160" s="1022"/>
      <c r="M160" s="1022"/>
      <c r="N160" s="1023"/>
      <c r="O160" s="672">
        <f>SUM(O151:O159)</f>
        <v>0.49630029999999992</v>
      </c>
      <c r="P160" s="673">
        <f>SUM(P151:P159)</f>
        <v>0.24770019100000001</v>
      </c>
      <c r="Q160" s="674">
        <v>2042</v>
      </c>
    </row>
    <row r="161" spans="1:17" s="554" customFormat="1" ht="15" customHeight="1" x14ac:dyDescent="0.2">
      <c r="A161" s="557" t="s">
        <v>544</v>
      </c>
      <c r="B161" s="1020" t="s">
        <v>251</v>
      </c>
      <c r="C161" s="523" t="s">
        <v>245</v>
      </c>
      <c r="D161" s="523" t="s">
        <v>188</v>
      </c>
      <c r="E161" s="523">
        <v>1</v>
      </c>
      <c r="F161" s="523">
        <v>1</v>
      </c>
      <c r="G161" s="523">
        <v>30</v>
      </c>
      <c r="H161" s="523">
        <v>1.49</v>
      </c>
      <c r="I161" s="558">
        <v>7.2</v>
      </c>
      <c r="J161" s="558">
        <v>30</v>
      </c>
      <c r="K161" s="559" t="s">
        <v>170</v>
      </c>
      <c r="L161" s="560" t="s">
        <v>162</v>
      </c>
      <c r="M161" s="556">
        <f>ROUND((F161*(I161*G161/3600)),4)</f>
        <v>0.06</v>
      </c>
      <c r="N161" s="556">
        <f>ROUND((E161*(J161*H161/1000)),4)</f>
        <v>4.4699999999999997E-2</v>
      </c>
      <c r="O161" s="575"/>
    </row>
    <row r="162" spans="1:17" s="91" customFormat="1" ht="15" customHeight="1" x14ac:dyDescent="0.2">
      <c r="A162" s="345"/>
      <c r="B162" s="1020"/>
      <c r="C162" s="561"/>
      <c r="D162" s="561"/>
      <c r="E162" s="561"/>
      <c r="F162" s="562"/>
      <c r="G162" s="562"/>
      <c r="H162" s="562"/>
      <c r="I162" s="562">
        <v>10.3</v>
      </c>
      <c r="J162" s="562">
        <v>43</v>
      </c>
      <c r="K162" s="563" t="s">
        <v>200</v>
      </c>
      <c r="L162" s="564" t="s">
        <v>153</v>
      </c>
      <c r="M162" s="319">
        <f>ROUND(((F161*(I162*G161/3600))*0.8),4)</f>
        <v>6.8699999999999997E-2</v>
      </c>
      <c r="N162" s="319">
        <f>ROUND(((E161*(J162*H161/1000))*0.8),4)</f>
        <v>5.1299999999999998E-2</v>
      </c>
      <c r="O162" s="575"/>
      <c r="Q162" s="289"/>
    </row>
    <row r="163" spans="1:17" s="91" customFormat="1" ht="15" customHeight="1" x14ac:dyDescent="0.2">
      <c r="A163" s="561"/>
      <c r="B163" s="1020"/>
      <c r="C163" s="561"/>
      <c r="D163" s="561"/>
      <c r="E163" s="561"/>
      <c r="F163" s="562"/>
      <c r="G163" s="562"/>
      <c r="H163" s="562"/>
      <c r="I163" s="562"/>
      <c r="J163" s="562"/>
      <c r="K163" s="563" t="s">
        <v>201</v>
      </c>
      <c r="L163" s="564" t="s">
        <v>202</v>
      </c>
      <c r="M163" s="319">
        <f>ROUND(((F161*(I162*G161/3600))*0.13),4)</f>
        <v>1.12E-2</v>
      </c>
      <c r="N163" s="319">
        <f>ROUND(((E161*(J162*H161/1000))*0.13),4)</f>
        <v>8.3000000000000001E-3</v>
      </c>
      <c r="O163" s="575"/>
    </row>
    <row r="164" spans="1:17" s="91" customFormat="1" ht="15" customHeight="1" x14ac:dyDescent="0.2">
      <c r="A164" s="561"/>
      <c r="B164" s="561"/>
      <c r="C164" s="561"/>
      <c r="D164" s="561"/>
      <c r="E164" s="561"/>
      <c r="F164" s="562"/>
      <c r="G164" s="562"/>
      <c r="H164" s="562"/>
      <c r="I164" s="321">
        <v>3.6</v>
      </c>
      <c r="J164" s="321">
        <v>15</v>
      </c>
      <c r="K164" s="565" t="s">
        <v>247</v>
      </c>
      <c r="L164" s="566">
        <v>2754</v>
      </c>
      <c r="M164" s="319">
        <f>ROUND((F161*(I164*G161/3600)),4)</f>
        <v>0.03</v>
      </c>
      <c r="N164" s="319">
        <f>ROUND(((E161*(J164*H161/1000))),4)</f>
        <v>2.24E-2</v>
      </c>
      <c r="O164" s="575"/>
    </row>
    <row r="165" spans="1:17" s="91" customFormat="1" ht="15" customHeight="1" x14ac:dyDescent="0.2">
      <c r="A165" s="561"/>
      <c r="B165" s="561"/>
      <c r="C165" s="561"/>
      <c r="D165" s="561"/>
      <c r="E165" s="561"/>
      <c r="F165" s="562"/>
      <c r="G165" s="562"/>
      <c r="H165" s="562"/>
      <c r="I165" s="321">
        <v>0.7</v>
      </c>
      <c r="J165" s="321">
        <v>3</v>
      </c>
      <c r="K165" s="567" t="s">
        <v>638</v>
      </c>
      <c r="L165" s="566" t="s">
        <v>208</v>
      </c>
      <c r="M165" s="319">
        <f>ROUND((F161*(I165*G161/3600)),4)</f>
        <v>5.7999999999999996E-3</v>
      </c>
      <c r="N165" s="319">
        <f>ROUND(((E161*(J165*H161/1000))),4)</f>
        <v>4.4999999999999997E-3</v>
      </c>
      <c r="O165" s="575"/>
    </row>
    <row r="166" spans="1:17" s="91" customFormat="1" ht="15" customHeight="1" x14ac:dyDescent="0.2">
      <c r="A166" s="561"/>
      <c r="B166" s="561"/>
      <c r="C166" s="561"/>
      <c r="D166" s="561"/>
      <c r="E166" s="561"/>
      <c r="F166" s="562"/>
      <c r="G166" s="562"/>
      <c r="H166" s="562"/>
      <c r="I166" s="321">
        <v>1.1000000000000001</v>
      </c>
      <c r="J166" s="321">
        <v>4.5</v>
      </c>
      <c r="K166" s="567" t="s">
        <v>246</v>
      </c>
      <c r="L166" s="566" t="s">
        <v>204</v>
      </c>
      <c r="M166" s="319">
        <f>ROUND((F161*(I166*G161/3600)),4)</f>
        <v>9.1999999999999998E-3</v>
      </c>
      <c r="N166" s="319">
        <f>ROUND(((E161*(J166*H161/1000))),4)</f>
        <v>6.7000000000000002E-3</v>
      </c>
    </row>
    <row r="167" spans="1:17" s="91" customFormat="1" ht="15" customHeight="1" x14ac:dyDescent="0.2">
      <c r="A167" s="561"/>
      <c r="B167" s="561"/>
      <c r="C167" s="561"/>
      <c r="D167" s="561"/>
      <c r="E167" s="561"/>
      <c r="F167" s="562"/>
      <c r="G167" s="562"/>
      <c r="H167" s="562"/>
      <c r="I167" s="568">
        <v>0.15</v>
      </c>
      <c r="J167" s="568">
        <v>0.6</v>
      </c>
      <c r="K167" s="567" t="s">
        <v>248</v>
      </c>
      <c r="L167" s="566" t="s">
        <v>249</v>
      </c>
      <c r="M167" s="319">
        <f>ROUND((F161*(I167*G161/3600)),4)</f>
        <v>1.2999999999999999E-3</v>
      </c>
      <c r="N167" s="319">
        <f>ROUND(((E161*(J167*H161/1000))),5)</f>
        <v>8.8999999999999995E-4</v>
      </c>
    </row>
    <row r="168" spans="1:17" s="91" customFormat="1" ht="15" customHeight="1" x14ac:dyDescent="0.2">
      <c r="A168" s="569"/>
      <c r="B168" s="569"/>
      <c r="C168" s="569"/>
      <c r="D168" s="570"/>
      <c r="E168" s="569"/>
      <c r="F168" s="571"/>
      <c r="G168" s="571"/>
      <c r="H168" s="571"/>
      <c r="I168" s="321">
        <v>1.2999999999999999E-5</v>
      </c>
      <c r="J168" s="321">
        <v>5.5000000000000002E-5</v>
      </c>
      <c r="K168" s="567" t="s">
        <v>639</v>
      </c>
      <c r="L168" s="566" t="s">
        <v>640</v>
      </c>
      <c r="M168" s="319">
        <f>ROUND((F161*(I168*G161/3600)),7)</f>
        <v>9.9999999999999995E-8</v>
      </c>
      <c r="N168" s="319">
        <f>ROUND(((E161*(J168*H161/1000))),7)</f>
        <v>9.9999999999999995E-8</v>
      </c>
      <c r="O168" s="91">
        <f>SUM(M161:M168)</f>
        <v>0.18620009999999995</v>
      </c>
      <c r="P168" s="91">
        <f>SUM(N161:N168)</f>
        <v>0.13879010000000003</v>
      </c>
    </row>
    <row r="169" spans="1:17" s="554" customFormat="1" ht="15" customHeight="1" x14ac:dyDescent="0.2">
      <c r="A169" s="572" t="s">
        <v>545</v>
      </c>
      <c r="B169" s="862" t="s">
        <v>641</v>
      </c>
      <c r="C169" s="523" t="s">
        <v>245</v>
      </c>
      <c r="D169" s="523" t="s">
        <v>188</v>
      </c>
      <c r="E169" s="523">
        <v>1</v>
      </c>
      <c r="F169" s="523">
        <v>1</v>
      </c>
      <c r="G169" s="523">
        <v>50</v>
      </c>
      <c r="H169" s="344">
        <v>2.4916</v>
      </c>
      <c r="I169" s="488">
        <v>7.2</v>
      </c>
      <c r="J169" s="488">
        <v>30</v>
      </c>
      <c r="K169" s="559" t="s">
        <v>170</v>
      </c>
      <c r="L169" s="33" t="s">
        <v>162</v>
      </c>
      <c r="M169" s="28">
        <f>ROUND((F169*(I169*G169/3600)),4)</f>
        <v>0.1</v>
      </c>
      <c r="N169" s="28">
        <f>ROUND((E169*(J169*H169/1000)),4)</f>
        <v>7.4700000000000003E-2</v>
      </c>
    </row>
    <row r="170" spans="1:17" s="91" customFormat="1" ht="15" customHeight="1" x14ac:dyDescent="0.2">
      <c r="A170" s="345"/>
      <c r="B170" s="1020"/>
      <c r="C170" s="561"/>
      <c r="D170" s="561"/>
      <c r="E170" s="561"/>
      <c r="F170" s="562"/>
      <c r="G170" s="562"/>
      <c r="H170" s="562"/>
      <c r="I170" s="562">
        <v>10.3</v>
      </c>
      <c r="J170" s="562">
        <v>43</v>
      </c>
      <c r="K170" s="563" t="s">
        <v>200</v>
      </c>
      <c r="L170" s="564" t="s">
        <v>153</v>
      </c>
      <c r="M170" s="319">
        <f>ROUND(((F169*(I170*G169/3600))*0.8),4)</f>
        <v>0.1144</v>
      </c>
      <c r="N170" s="319">
        <f>ROUND(((E169*(J170*H169/1000))*0.8),4)</f>
        <v>8.5699999999999998E-2</v>
      </c>
      <c r="Q170" s="289"/>
    </row>
    <row r="171" spans="1:17" s="91" customFormat="1" ht="15" customHeight="1" x14ac:dyDescent="0.2">
      <c r="A171" s="561"/>
      <c r="B171" s="1020"/>
      <c r="C171" s="561"/>
      <c r="D171" s="561"/>
      <c r="E171" s="561"/>
      <c r="F171" s="562"/>
      <c r="G171" s="562"/>
      <c r="H171" s="562"/>
      <c r="I171" s="562"/>
      <c r="J171" s="562"/>
      <c r="K171" s="563" t="s">
        <v>201</v>
      </c>
      <c r="L171" s="564" t="s">
        <v>202</v>
      </c>
      <c r="M171" s="319">
        <f>ROUND(((F169*(I170*G169/3600))*0.13),4)</f>
        <v>1.8599999999999998E-2</v>
      </c>
      <c r="N171" s="319">
        <f>ROUND(((E169*(J170*H169/1000))*0.13),4)</f>
        <v>1.3899999999999999E-2</v>
      </c>
    </row>
    <row r="172" spans="1:17" s="91" customFormat="1" ht="15" customHeight="1" x14ac:dyDescent="0.2">
      <c r="A172" s="561"/>
      <c r="B172" s="561"/>
      <c r="C172" s="561"/>
      <c r="D172" s="561"/>
      <c r="E172" s="561"/>
      <c r="F172" s="562"/>
      <c r="G172" s="562"/>
      <c r="H172" s="562"/>
      <c r="I172" s="321">
        <v>3.6</v>
      </c>
      <c r="J172" s="321">
        <v>15</v>
      </c>
      <c r="K172" s="565" t="s">
        <v>247</v>
      </c>
      <c r="L172" s="566">
        <v>2754</v>
      </c>
      <c r="M172" s="319">
        <f>ROUND((F169*(I172*G169/3600)),4)</f>
        <v>0.05</v>
      </c>
      <c r="N172" s="319">
        <f>ROUND(((E169*(J172*H169/1000))),4)</f>
        <v>3.7400000000000003E-2</v>
      </c>
    </row>
    <row r="173" spans="1:17" s="91" customFormat="1" ht="15" customHeight="1" x14ac:dyDescent="0.2">
      <c r="A173" s="561"/>
      <c r="B173" s="561"/>
      <c r="C173" s="561"/>
      <c r="D173" s="561"/>
      <c r="E173" s="561"/>
      <c r="F173" s="562"/>
      <c r="G173" s="562"/>
      <c r="H173" s="562"/>
      <c r="I173" s="321">
        <v>0.7</v>
      </c>
      <c r="J173" s="321">
        <v>3</v>
      </c>
      <c r="K173" s="567" t="s">
        <v>638</v>
      </c>
      <c r="L173" s="566" t="s">
        <v>208</v>
      </c>
      <c r="M173" s="319">
        <f>ROUND((F169*(I173*G169/3600)),4)</f>
        <v>9.7000000000000003E-3</v>
      </c>
      <c r="N173" s="319">
        <f>ROUND(((E169*(J173*H169/1000))),4)</f>
        <v>7.4999999999999997E-3</v>
      </c>
    </row>
    <row r="174" spans="1:17" s="91" customFormat="1" ht="15" customHeight="1" x14ac:dyDescent="0.2">
      <c r="A174" s="561"/>
      <c r="B174" s="561"/>
      <c r="C174" s="561"/>
      <c r="D174" s="561"/>
      <c r="E174" s="561"/>
      <c r="F174" s="562"/>
      <c r="G174" s="562"/>
      <c r="H174" s="562"/>
      <c r="I174" s="321">
        <v>1.1000000000000001</v>
      </c>
      <c r="J174" s="321">
        <v>4.5</v>
      </c>
      <c r="K174" s="567" t="s">
        <v>246</v>
      </c>
      <c r="L174" s="566" t="s">
        <v>204</v>
      </c>
      <c r="M174" s="319">
        <f>ROUND((F169*(I174*G169/3600)),4)</f>
        <v>1.5299999999999999E-2</v>
      </c>
      <c r="N174" s="319">
        <f>ROUND(((E169*(J174*H169/1000))),4)</f>
        <v>1.12E-2</v>
      </c>
    </row>
    <row r="175" spans="1:17" s="91" customFormat="1" ht="15" customHeight="1" x14ac:dyDescent="0.2">
      <c r="A175" s="561"/>
      <c r="B175" s="561"/>
      <c r="C175" s="561"/>
      <c r="D175" s="561"/>
      <c r="E175" s="561"/>
      <c r="F175" s="562"/>
      <c r="G175" s="562"/>
      <c r="H175" s="562"/>
      <c r="I175" s="568">
        <v>0.15</v>
      </c>
      <c r="J175" s="568">
        <v>0.6</v>
      </c>
      <c r="K175" s="567" t="s">
        <v>248</v>
      </c>
      <c r="L175" s="566" t="s">
        <v>249</v>
      </c>
      <c r="M175" s="319">
        <f>ROUND((F169*(I175*G169/3600)),4)</f>
        <v>2.0999999999999999E-3</v>
      </c>
      <c r="N175" s="319">
        <f>ROUND(((E169*(J175*H169/1000))),5)</f>
        <v>1.49E-3</v>
      </c>
    </row>
    <row r="176" spans="1:17" s="91" customFormat="1" ht="15" customHeight="1" x14ac:dyDescent="0.2">
      <c r="A176" s="569"/>
      <c r="B176" s="569"/>
      <c r="C176" s="569"/>
      <c r="D176" s="570"/>
      <c r="E176" s="569"/>
      <c r="F176" s="571"/>
      <c r="G176" s="571"/>
      <c r="H176" s="571"/>
      <c r="I176" s="321">
        <v>1.2999999999999999E-5</v>
      </c>
      <c r="J176" s="321">
        <v>5.5000000000000002E-5</v>
      </c>
      <c r="K176" s="567" t="s">
        <v>639</v>
      </c>
      <c r="L176" s="566" t="s">
        <v>640</v>
      </c>
      <c r="M176" s="319">
        <f>ROUND((F169*(I176*G169/3600)),7)</f>
        <v>1.9999999999999999E-7</v>
      </c>
      <c r="N176" s="319">
        <f>ROUND(((E169*(J176*H169/1000))),9)</f>
        <v>1.37E-7</v>
      </c>
      <c r="O176" s="91">
        <f>SUM(M169:M176)</f>
        <v>0.31010019999999999</v>
      </c>
      <c r="P176" s="91">
        <f>SUM(N169:N176)</f>
        <v>0.231890137</v>
      </c>
    </row>
    <row r="177" spans="1:17" s="138" customFormat="1" ht="15" customHeight="1" x14ac:dyDescent="0.2">
      <c r="A177" s="1021" t="s">
        <v>115</v>
      </c>
      <c r="B177" s="1022"/>
      <c r="C177" s="1022"/>
      <c r="D177" s="1022"/>
      <c r="E177" s="1022"/>
      <c r="F177" s="1022"/>
      <c r="G177" s="1022"/>
      <c r="H177" s="1022"/>
      <c r="I177" s="1022"/>
      <c r="J177" s="1022"/>
      <c r="K177" s="1022"/>
      <c r="L177" s="1022"/>
      <c r="M177" s="1022"/>
      <c r="N177" s="1023"/>
      <c r="O177" s="672">
        <f>SUM(O168:O176)</f>
        <v>0.49630029999999992</v>
      </c>
      <c r="P177" s="673">
        <f>SUM(P168:P176)</f>
        <v>0.37068023700000002</v>
      </c>
      <c r="Q177" s="674">
        <v>2043</v>
      </c>
    </row>
    <row r="178" spans="1:17" s="554" customFormat="1" ht="15" customHeight="1" x14ac:dyDescent="0.2">
      <c r="A178" s="557" t="s">
        <v>544</v>
      </c>
      <c r="B178" s="1020" t="s">
        <v>251</v>
      </c>
      <c r="C178" s="523" t="s">
        <v>245</v>
      </c>
      <c r="D178" s="523" t="s">
        <v>188</v>
      </c>
      <c r="E178" s="523">
        <v>1</v>
      </c>
      <c r="F178" s="523">
        <v>1</v>
      </c>
      <c r="G178" s="523">
        <v>30</v>
      </c>
      <c r="H178" s="523">
        <v>1.1200000000000001</v>
      </c>
      <c r="I178" s="558">
        <v>7.2</v>
      </c>
      <c r="J178" s="558">
        <v>30</v>
      </c>
      <c r="K178" s="559" t="s">
        <v>170</v>
      </c>
      <c r="L178" s="560" t="s">
        <v>162</v>
      </c>
      <c r="M178" s="556">
        <f>ROUND((F178*(I178*G178/3600)),4)</f>
        <v>0.06</v>
      </c>
      <c r="N178" s="556">
        <f>ROUND((E178*(J178*H178/1000)),4)</f>
        <v>3.3599999999999998E-2</v>
      </c>
      <c r="O178" s="575"/>
    </row>
    <row r="179" spans="1:17" s="91" customFormat="1" ht="15" customHeight="1" x14ac:dyDescent="0.2">
      <c r="A179" s="345"/>
      <c r="B179" s="1020"/>
      <c r="C179" s="561"/>
      <c r="D179" s="561"/>
      <c r="E179" s="561"/>
      <c r="F179" s="562"/>
      <c r="G179" s="562"/>
      <c r="H179" s="562"/>
      <c r="I179" s="562">
        <v>10.3</v>
      </c>
      <c r="J179" s="562">
        <v>43</v>
      </c>
      <c r="K179" s="563" t="s">
        <v>200</v>
      </c>
      <c r="L179" s="564" t="s">
        <v>153</v>
      </c>
      <c r="M179" s="319">
        <f>ROUND(((F178*(I179*G178/3600))*0.8),4)</f>
        <v>6.8699999999999997E-2</v>
      </c>
      <c r="N179" s="319">
        <f>ROUND(((E178*(J179*H178/1000))*0.8),4)</f>
        <v>3.85E-2</v>
      </c>
      <c r="O179" s="575"/>
      <c r="Q179" s="289"/>
    </row>
    <row r="180" spans="1:17" s="91" customFormat="1" ht="15" customHeight="1" x14ac:dyDescent="0.2">
      <c r="A180" s="561"/>
      <c r="B180" s="1020"/>
      <c r="C180" s="561"/>
      <c r="D180" s="561"/>
      <c r="E180" s="561"/>
      <c r="F180" s="562"/>
      <c r="G180" s="562"/>
      <c r="H180" s="562"/>
      <c r="I180" s="562"/>
      <c r="J180" s="562"/>
      <c r="K180" s="563" t="s">
        <v>201</v>
      </c>
      <c r="L180" s="564" t="s">
        <v>202</v>
      </c>
      <c r="M180" s="319">
        <f>ROUND(((F178*(I179*G178/3600))*0.13),4)</f>
        <v>1.12E-2</v>
      </c>
      <c r="N180" s="319">
        <f>ROUND(((E178*(J179*H178/1000))*0.13),4)</f>
        <v>6.3E-3</v>
      </c>
      <c r="O180" s="575"/>
    </row>
    <row r="181" spans="1:17" s="91" customFormat="1" ht="15" customHeight="1" x14ac:dyDescent="0.2">
      <c r="A181" s="561"/>
      <c r="B181" s="561"/>
      <c r="C181" s="561"/>
      <c r="D181" s="561"/>
      <c r="E181" s="561"/>
      <c r="F181" s="562"/>
      <c r="G181" s="562"/>
      <c r="H181" s="562"/>
      <c r="I181" s="321">
        <v>3.6</v>
      </c>
      <c r="J181" s="321">
        <v>15</v>
      </c>
      <c r="K181" s="565" t="s">
        <v>247</v>
      </c>
      <c r="L181" s="566">
        <v>2754</v>
      </c>
      <c r="M181" s="319">
        <f>ROUND((F178*(I181*G178/3600)),4)</f>
        <v>0.03</v>
      </c>
      <c r="N181" s="319">
        <f>ROUND(((E178*(J181*H178/1000))),4)</f>
        <v>1.6799999999999999E-2</v>
      </c>
      <c r="O181" s="575"/>
    </row>
    <row r="182" spans="1:17" s="91" customFormat="1" ht="15" customHeight="1" x14ac:dyDescent="0.2">
      <c r="A182" s="561"/>
      <c r="B182" s="561"/>
      <c r="C182" s="561"/>
      <c r="D182" s="561"/>
      <c r="E182" s="561"/>
      <c r="F182" s="562"/>
      <c r="G182" s="562"/>
      <c r="H182" s="562"/>
      <c r="I182" s="321">
        <v>0.7</v>
      </c>
      <c r="J182" s="321">
        <v>3</v>
      </c>
      <c r="K182" s="567" t="s">
        <v>638</v>
      </c>
      <c r="L182" s="566" t="s">
        <v>208</v>
      </c>
      <c r="M182" s="319">
        <f>ROUND((F178*(I182*G178/3600)),4)</f>
        <v>5.7999999999999996E-3</v>
      </c>
      <c r="N182" s="319">
        <f>ROUND(((E178*(J182*H178/1000))),4)</f>
        <v>3.3999999999999998E-3</v>
      </c>
      <c r="O182" s="575"/>
    </row>
    <row r="183" spans="1:17" s="91" customFormat="1" ht="15" customHeight="1" x14ac:dyDescent="0.2">
      <c r="A183" s="561"/>
      <c r="B183" s="561"/>
      <c r="C183" s="561"/>
      <c r="D183" s="561"/>
      <c r="E183" s="561"/>
      <c r="F183" s="562"/>
      <c r="G183" s="562"/>
      <c r="H183" s="562"/>
      <c r="I183" s="321">
        <v>1.1000000000000001</v>
      </c>
      <c r="J183" s="321">
        <v>4.5</v>
      </c>
      <c r="K183" s="567" t="s">
        <v>246</v>
      </c>
      <c r="L183" s="566" t="s">
        <v>204</v>
      </c>
      <c r="M183" s="319">
        <f>ROUND((F178*(I183*G178/3600)),4)</f>
        <v>9.1999999999999998E-3</v>
      </c>
      <c r="N183" s="319">
        <f>ROUND(((E178*(J183*H178/1000))),4)</f>
        <v>5.0000000000000001E-3</v>
      </c>
    </row>
    <row r="184" spans="1:17" s="91" customFormat="1" ht="15" customHeight="1" x14ac:dyDescent="0.2">
      <c r="A184" s="561"/>
      <c r="B184" s="561"/>
      <c r="C184" s="561"/>
      <c r="D184" s="561"/>
      <c r="E184" s="561"/>
      <c r="F184" s="562"/>
      <c r="G184" s="562"/>
      <c r="H184" s="562"/>
      <c r="I184" s="568">
        <v>0.15</v>
      </c>
      <c r="J184" s="568">
        <v>0.6</v>
      </c>
      <c r="K184" s="567" t="s">
        <v>248</v>
      </c>
      <c r="L184" s="566" t="s">
        <v>249</v>
      </c>
      <c r="M184" s="319">
        <f>ROUND((F178*(I184*G178/3600)),4)</f>
        <v>1.2999999999999999E-3</v>
      </c>
      <c r="N184" s="319">
        <f>ROUND(((E178*(J184*H178/1000))),5)</f>
        <v>6.7000000000000002E-4</v>
      </c>
    </row>
    <row r="185" spans="1:17" s="91" customFormat="1" ht="15" customHeight="1" x14ac:dyDescent="0.2">
      <c r="A185" s="569"/>
      <c r="B185" s="569"/>
      <c r="C185" s="569"/>
      <c r="D185" s="570"/>
      <c r="E185" s="569"/>
      <c r="F185" s="571"/>
      <c r="G185" s="571"/>
      <c r="H185" s="571"/>
      <c r="I185" s="321">
        <v>1.2999999999999999E-5</v>
      </c>
      <c r="J185" s="321">
        <v>5.5000000000000002E-5</v>
      </c>
      <c r="K185" s="567" t="s">
        <v>639</v>
      </c>
      <c r="L185" s="566" t="s">
        <v>640</v>
      </c>
      <c r="M185" s="319">
        <f>ROUND((F178*(I185*G178/3600)),7)</f>
        <v>9.9999999999999995E-8</v>
      </c>
      <c r="N185" s="319">
        <f>ROUND(((E178*(J185*H178/1000))),7)</f>
        <v>9.9999999999999995E-8</v>
      </c>
      <c r="O185" s="91">
        <f>SUM(M178:M185)</f>
        <v>0.18620009999999995</v>
      </c>
      <c r="P185" s="91">
        <f>SUM(N178:N185)</f>
        <v>0.1042701</v>
      </c>
    </row>
    <row r="186" spans="1:17" s="554" customFormat="1" ht="15" customHeight="1" x14ac:dyDescent="0.2">
      <c r="A186" s="572" t="s">
        <v>545</v>
      </c>
      <c r="B186" s="862" t="s">
        <v>641</v>
      </c>
      <c r="C186" s="523" t="s">
        <v>245</v>
      </c>
      <c r="D186" s="523" t="s">
        <v>188</v>
      </c>
      <c r="E186" s="523">
        <v>1</v>
      </c>
      <c r="F186" s="523">
        <v>1</v>
      </c>
      <c r="G186" s="523">
        <v>50</v>
      </c>
      <c r="H186" s="344">
        <v>1.8687</v>
      </c>
      <c r="I186" s="488">
        <v>7.2</v>
      </c>
      <c r="J186" s="488">
        <v>30</v>
      </c>
      <c r="K186" s="559" t="s">
        <v>170</v>
      </c>
      <c r="L186" s="33" t="s">
        <v>162</v>
      </c>
      <c r="M186" s="28">
        <f>ROUND((F186*(I186*G186/3600)),4)</f>
        <v>0.1</v>
      </c>
      <c r="N186" s="28">
        <f>ROUND((E186*(J186*H186/1000)),4)</f>
        <v>5.6099999999999997E-2</v>
      </c>
    </row>
    <row r="187" spans="1:17" s="91" customFormat="1" ht="15" customHeight="1" x14ac:dyDescent="0.2">
      <c r="A187" s="345"/>
      <c r="B187" s="1020"/>
      <c r="C187" s="561"/>
      <c r="D187" s="561"/>
      <c r="E187" s="561"/>
      <c r="F187" s="562"/>
      <c r="G187" s="562"/>
      <c r="H187" s="562"/>
      <c r="I187" s="562">
        <v>10.3</v>
      </c>
      <c r="J187" s="562">
        <v>43</v>
      </c>
      <c r="K187" s="563" t="s">
        <v>200</v>
      </c>
      <c r="L187" s="564" t="s">
        <v>153</v>
      </c>
      <c r="M187" s="319">
        <f>ROUND(((F186*(I187*G186/3600))*0.8),4)</f>
        <v>0.1144</v>
      </c>
      <c r="N187" s="319">
        <f>ROUND(((E186*(J187*H186/1000))*0.8),4)</f>
        <v>6.4299999999999996E-2</v>
      </c>
      <c r="Q187" s="289"/>
    </row>
    <row r="188" spans="1:17" s="91" customFormat="1" ht="15" customHeight="1" x14ac:dyDescent="0.2">
      <c r="A188" s="561"/>
      <c r="B188" s="1020"/>
      <c r="C188" s="561"/>
      <c r="D188" s="561"/>
      <c r="E188" s="561"/>
      <c r="F188" s="562"/>
      <c r="G188" s="562"/>
      <c r="H188" s="562"/>
      <c r="I188" s="562"/>
      <c r="J188" s="562"/>
      <c r="K188" s="563" t="s">
        <v>201</v>
      </c>
      <c r="L188" s="564" t="s">
        <v>202</v>
      </c>
      <c r="M188" s="319">
        <f>ROUND(((F186*(I187*G186/3600))*0.13),4)</f>
        <v>1.8599999999999998E-2</v>
      </c>
      <c r="N188" s="319">
        <f>ROUND(((E186*(J187*H186/1000))*0.13),4)</f>
        <v>1.04E-2</v>
      </c>
    </row>
    <row r="189" spans="1:17" s="91" customFormat="1" ht="15" customHeight="1" x14ac:dyDescent="0.2">
      <c r="A189" s="561"/>
      <c r="B189" s="561"/>
      <c r="C189" s="561"/>
      <c r="D189" s="561"/>
      <c r="E189" s="561"/>
      <c r="F189" s="562"/>
      <c r="G189" s="562"/>
      <c r="H189" s="562"/>
      <c r="I189" s="321">
        <v>3.6</v>
      </c>
      <c r="J189" s="321">
        <v>15</v>
      </c>
      <c r="K189" s="565" t="s">
        <v>247</v>
      </c>
      <c r="L189" s="566">
        <v>2754</v>
      </c>
      <c r="M189" s="319">
        <f>ROUND((F186*(I189*G186/3600)),4)</f>
        <v>0.05</v>
      </c>
      <c r="N189" s="319">
        <f>ROUND(((E186*(J189*H186/1000))),4)</f>
        <v>2.8000000000000001E-2</v>
      </c>
    </row>
    <row r="190" spans="1:17" s="91" customFormat="1" ht="15" customHeight="1" x14ac:dyDescent="0.2">
      <c r="A190" s="561"/>
      <c r="B190" s="561"/>
      <c r="C190" s="561"/>
      <c r="D190" s="561"/>
      <c r="E190" s="561"/>
      <c r="F190" s="562"/>
      <c r="G190" s="562"/>
      <c r="H190" s="562"/>
      <c r="I190" s="321">
        <v>0.7</v>
      </c>
      <c r="J190" s="321">
        <v>3</v>
      </c>
      <c r="K190" s="567" t="s">
        <v>638</v>
      </c>
      <c r="L190" s="566" t="s">
        <v>208</v>
      </c>
      <c r="M190" s="319">
        <f>ROUND((F186*(I190*G186/3600)),4)</f>
        <v>9.7000000000000003E-3</v>
      </c>
      <c r="N190" s="319">
        <f>ROUND(((E186*(J190*H186/1000))),4)</f>
        <v>5.5999999999999999E-3</v>
      </c>
    </row>
    <row r="191" spans="1:17" s="91" customFormat="1" ht="15" customHeight="1" x14ac:dyDescent="0.2">
      <c r="A191" s="561"/>
      <c r="B191" s="561"/>
      <c r="C191" s="561"/>
      <c r="D191" s="561"/>
      <c r="E191" s="561"/>
      <c r="F191" s="562"/>
      <c r="G191" s="562"/>
      <c r="H191" s="562"/>
      <c r="I191" s="321">
        <v>1.1000000000000001</v>
      </c>
      <c r="J191" s="321">
        <v>4.5</v>
      </c>
      <c r="K191" s="567" t="s">
        <v>246</v>
      </c>
      <c r="L191" s="566" t="s">
        <v>204</v>
      </c>
      <c r="M191" s="319">
        <f>ROUND((F186*(I191*G186/3600)),4)</f>
        <v>1.5299999999999999E-2</v>
      </c>
      <c r="N191" s="319">
        <f>ROUND(((E186*(J191*H186/1000))),4)</f>
        <v>8.3999999999999995E-3</v>
      </c>
    </row>
    <row r="192" spans="1:17" s="91" customFormat="1" ht="15" customHeight="1" x14ac:dyDescent="0.2">
      <c r="A192" s="561"/>
      <c r="B192" s="561"/>
      <c r="C192" s="561"/>
      <c r="D192" s="561"/>
      <c r="E192" s="561"/>
      <c r="F192" s="562"/>
      <c r="G192" s="562"/>
      <c r="H192" s="562"/>
      <c r="I192" s="568">
        <v>0.15</v>
      </c>
      <c r="J192" s="568">
        <v>0.6</v>
      </c>
      <c r="K192" s="567" t="s">
        <v>248</v>
      </c>
      <c r="L192" s="566" t="s">
        <v>249</v>
      </c>
      <c r="M192" s="319">
        <f>ROUND((F186*(I192*G186/3600)),4)</f>
        <v>2.0999999999999999E-3</v>
      </c>
      <c r="N192" s="319">
        <f>ROUND(((E186*(J192*H186/1000))),5)</f>
        <v>1.1199999999999999E-3</v>
      </c>
    </row>
    <row r="193" spans="1:17" s="91" customFormat="1" ht="15" customHeight="1" x14ac:dyDescent="0.2">
      <c r="A193" s="569"/>
      <c r="B193" s="569"/>
      <c r="C193" s="569"/>
      <c r="D193" s="570"/>
      <c r="E193" s="569"/>
      <c r="F193" s="571"/>
      <c r="G193" s="571"/>
      <c r="H193" s="571"/>
      <c r="I193" s="321">
        <v>1.2999999999999999E-5</v>
      </c>
      <c r="J193" s="321">
        <v>5.5000000000000002E-5</v>
      </c>
      <c r="K193" s="567" t="s">
        <v>639</v>
      </c>
      <c r="L193" s="566" t="s">
        <v>640</v>
      </c>
      <c r="M193" s="319">
        <f>ROUND((F186*(I193*G186/3600)),7)</f>
        <v>1.9999999999999999E-7</v>
      </c>
      <c r="N193" s="319">
        <f>ROUND(((E186*(J193*H186/1000))),9)</f>
        <v>1.03E-7</v>
      </c>
      <c r="O193" s="91">
        <f>SUM(M186:M193)</f>
        <v>0.31010019999999999</v>
      </c>
      <c r="P193" s="91">
        <f>SUM(N186:N193)</f>
        <v>0.17392010299999999</v>
      </c>
    </row>
    <row r="194" spans="1:17" s="138" customFormat="1" ht="15" customHeight="1" x14ac:dyDescent="0.2">
      <c r="A194" s="1021" t="s">
        <v>119</v>
      </c>
      <c r="B194" s="1022"/>
      <c r="C194" s="1022"/>
      <c r="D194" s="1022"/>
      <c r="E194" s="1022"/>
      <c r="F194" s="1022"/>
      <c r="G194" s="1022"/>
      <c r="H194" s="1022"/>
      <c r="I194" s="1022"/>
      <c r="J194" s="1022"/>
      <c r="K194" s="1022"/>
      <c r="L194" s="1022"/>
      <c r="M194" s="1022"/>
      <c r="N194" s="1023"/>
      <c r="O194" s="672">
        <f>SUM(O185:O193)</f>
        <v>0.49630029999999992</v>
      </c>
      <c r="P194" s="673">
        <f>SUM(P185:P193)</f>
        <v>0.27819020299999997</v>
      </c>
      <c r="Q194" s="674">
        <v>2044</v>
      </c>
    </row>
    <row r="195" spans="1:17" s="554" customFormat="1" ht="15" customHeight="1" x14ac:dyDescent="0.2">
      <c r="A195" s="557" t="s">
        <v>544</v>
      </c>
      <c r="B195" s="1020" t="s">
        <v>251</v>
      </c>
      <c r="C195" s="523" t="s">
        <v>245</v>
      </c>
      <c r="D195" s="523" t="s">
        <v>188</v>
      </c>
      <c r="E195" s="523">
        <v>1</v>
      </c>
      <c r="F195" s="523">
        <v>1</v>
      </c>
      <c r="G195" s="523">
        <v>30</v>
      </c>
      <c r="H195" s="523">
        <v>0.87</v>
      </c>
      <c r="I195" s="558">
        <v>7.2</v>
      </c>
      <c r="J195" s="558">
        <v>30</v>
      </c>
      <c r="K195" s="559" t="s">
        <v>170</v>
      </c>
      <c r="L195" s="560" t="s">
        <v>162</v>
      </c>
      <c r="M195" s="556">
        <f>ROUND((F195*(I195*G195/3600)),4)</f>
        <v>0.06</v>
      </c>
      <c r="N195" s="556">
        <f>ROUND((E195*(J195*H195/1000)),4)</f>
        <v>2.6100000000000002E-2</v>
      </c>
      <c r="O195" s="575"/>
    </row>
    <row r="196" spans="1:17" s="91" customFormat="1" ht="15" customHeight="1" x14ac:dyDescent="0.2">
      <c r="A196" s="345"/>
      <c r="B196" s="1020"/>
      <c r="C196" s="561"/>
      <c r="D196" s="561"/>
      <c r="E196" s="561"/>
      <c r="F196" s="562"/>
      <c r="G196" s="562"/>
      <c r="H196" s="562"/>
      <c r="I196" s="562">
        <v>10.3</v>
      </c>
      <c r="J196" s="562">
        <v>43</v>
      </c>
      <c r="K196" s="563" t="s">
        <v>200</v>
      </c>
      <c r="L196" s="564" t="s">
        <v>153</v>
      </c>
      <c r="M196" s="319">
        <f>ROUND(((F195*(I196*G195/3600))*0.8),4)</f>
        <v>6.8699999999999997E-2</v>
      </c>
      <c r="N196" s="319">
        <f>ROUND(((E195*(J196*H195/1000))*0.8),4)</f>
        <v>2.9899999999999999E-2</v>
      </c>
      <c r="O196" s="575"/>
      <c r="Q196" s="289"/>
    </row>
    <row r="197" spans="1:17" s="91" customFormat="1" ht="15" customHeight="1" x14ac:dyDescent="0.2">
      <c r="A197" s="561"/>
      <c r="B197" s="1020"/>
      <c r="C197" s="561"/>
      <c r="D197" s="561"/>
      <c r="E197" s="561"/>
      <c r="F197" s="562"/>
      <c r="G197" s="562"/>
      <c r="H197" s="562"/>
      <c r="I197" s="562"/>
      <c r="J197" s="562"/>
      <c r="K197" s="563" t="s">
        <v>201</v>
      </c>
      <c r="L197" s="564" t="s">
        <v>202</v>
      </c>
      <c r="M197" s="319">
        <f>ROUND(((F195*(I196*G195/3600))*0.13),4)</f>
        <v>1.12E-2</v>
      </c>
      <c r="N197" s="319">
        <f>ROUND(((E195*(J196*H195/1000))*0.13),4)</f>
        <v>4.8999999999999998E-3</v>
      </c>
      <c r="O197" s="575"/>
    </row>
    <row r="198" spans="1:17" s="91" customFormat="1" ht="15" customHeight="1" x14ac:dyDescent="0.2">
      <c r="A198" s="561"/>
      <c r="B198" s="561"/>
      <c r="C198" s="561"/>
      <c r="D198" s="561"/>
      <c r="E198" s="561"/>
      <c r="F198" s="562"/>
      <c r="G198" s="562"/>
      <c r="H198" s="562"/>
      <c r="I198" s="321">
        <v>3.6</v>
      </c>
      <c r="J198" s="321">
        <v>15</v>
      </c>
      <c r="K198" s="565" t="s">
        <v>247</v>
      </c>
      <c r="L198" s="566">
        <v>2754</v>
      </c>
      <c r="M198" s="319">
        <f>ROUND((F195*(I198*G195/3600)),4)</f>
        <v>0.03</v>
      </c>
      <c r="N198" s="319">
        <f>ROUND(((E195*(J198*H195/1000))),4)</f>
        <v>1.3100000000000001E-2</v>
      </c>
      <c r="O198" s="575"/>
    </row>
    <row r="199" spans="1:17" s="91" customFormat="1" ht="15" customHeight="1" x14ac:dyDescent="0.2">
      <c r="A199" s="561"/>
      <c r="B199" s="561"/>
      <c r="C199" s="561"/>
      <c r="D199" s="561"/>
      <c r="E199" s="561"/>
      <c r="F199" s="562"/>
      <c r="G199" s="562"/>
      <c r="H199" s="562"/>
      <c r="I199" s="321">
        <v>0.7</v>
      </c>
      <c r="J199" s="321">
        <v>3</v>
      </c>
      <c r="K199" s="567" t="s">
        <v>638</v>
      </c>
      <c r="L199" s="566" t="s">
        <v>208</v>
      </c>
      <c r="M199" s="319">
        <f>ROUND((F195*(I199*G195/3600)),4)</f>
        <v>5.7999999999999996E-3</v>
      </c>
      <c r="N199" s="319">
        <f>ROUND(((E195*(J199*H195/1000))),4)</f>
        <v>2.5999999999999999E-3</v>
      </c>
      <c r="O199" s="575"/>
    </row>
    <row r="200" spans="1:17" s="91" customFormat="1" ht="15" customHeight="1" x14ac:dyDescent="0.2">
      <c r="A200" s="561"/>
      <c r="B200" s="561"/>
      <c r="C200" s="561"/>
      <c r="D200" s="561"/>
      <c r="E200" s="561"/>
      <c r="F200" s="562"/>
      <c r="G200" s="562"/>
      <c r="H200" s="562"/>
      <c r="I200" s="321">
        <v>1.1000000000000001</v>
      </c>
      <c r="J200" s="321">
        <v>4.5</v>
      </c>
      <c r="K200" s="567" t="s">
        <v>246</v>
      </c>
      <c r="L200" s="566" t="s">
        <v>204</v>
      </c>
      <c r="M200" s="319">
        <f>ROUND((F195*(I200*G195/3600)),4)</f>
        <v>9.1999999999999998E-3</v>
      </c>
      <c r="N200" s="319">
        <f>ROUND(((E195*(J200*H195/1000))),4)</f>
        <v>3.8999999999999998E-3</v>
      </c>
    </row>
    <row r="201" spans="1:17" s="91" customFormat="1" ht="15" customHeight="1" x14ac:dyDescent="0.2">
      <c r="A201" s="561"/>
      <c r="B201" s="561"/>
      <c r="C201" s="561"/>
      <c r="D201" s="561"/>
      <c r="E201" s="561"/>
      <c r="F201" s="562"/>
      <c r="G201" s="562"/>
      <c r="H201" s="562"/>
      <c r="I201" s="568">
        <v>0.15</v>
      </c>
      <c r="J201" s="568">
        <v>0.6</v>
      </c>
      <c r="K201" s="567" t="s">
        <v>248</v>
      </c>
      <c r="L201" s="566" t="s">
        <v>249</v>
      </c>
      <c r="M201" s="319">
        <f>ROUND((F195*(I201*G195/3600)),4)</f>
        <v>1.2999999999999999E-3</v>
      </c>
      <c r="N201" s="319">
        <f>ROUND(((E195*(J201*H195/1000))),5)</f>
        <v>5.1999999999999995E-4</v>
      </c>
    </row>
    <row r="202" spans="1:17" s="91" customFormat="1" ht="15" customHeight="1" x14ac:dyDescent="0.2">
      <c r="A202" s="569"/>
      <c r="B202" s="569"/>
      <c r="C202" s="569"/>
      <c r="D202" s="570"/>
      <c r="E202" s="569"/>
      <c r="F202" s="571"/>
      <c r="G202" s="571"/>
      <c r="H202" s="571"/>
      <c r="I202" s="321">
        <v>1.2999999999999999E-5</v>
      </c>
      <c r="J202" s="321">
        <v>5.5000000000000002E-5</v>
      </c>
      <c r="K202" s="567" t="s">
        <v>639</v>
      </c>
      <c r="L202" s="566" t="s">
        <v>640</v>
      </c>
      <c r="M202" s="319">
        <f>ROUND((F195*(I202*G195/3600)),7)</f>
        <v>9.9999999999999995E-8</v>
      </c>
      <c r="N202" s="319">
        <f>ROUND(((E195*(J202*H195/1000))),8)</f>
        <v>4.9999999999999998E-8</v>
      </c>
      <c r="O202" s="91">
        <f>SUM(M195:M202)</f>
        <v>0.18620009999999995</v>
      </c>
      <c r="P202" s="91">
        <f>SUM(N195:N202)</f>
        <v>8.1020050000000024E-2</v>
      </c>
    </row>
    <row r="203" spans="1:17" s="554" customFormat="1" ht="15" customHeight="1" x14ac:dyDescent="0.2">
      <c r="A203" s="572" t="s">
        <v>545</v>
      </c>
      <c r="B203" s="862" t="s">
        <v>641</v>
      </c>
      <c r="C203" s="523" t="s">
        <v>245</v>
      </c>
      <c r="D203" s="523" t="s">
        <v>188</v>
      </c>
      <c r="E203" s="523">
        <v>1</v>
      </c>
      <c r="F203" s="523">
        <v>1</v>
      </c>
      <c r="G203" s="523">
        <v>50</v>
      </c>
      <c r="H203" s="344">
        <v>1.4534</v>
      </c>
      <c r="I203" s="488">
        <v>7.2</v>
      </c>
      <c r="J203" s="488">
        <v>30</v>
      </c>
      <c r="K203" s="559" t="s">
        <v>170</v>
      </c>
      <c r="L203" s="33" t="s">
        <v>162</v>
      </c>
      <c r="M203" s="28">
        <f>ROUND((F203*(I203*G203/3600)),4)</f>
        <v>0.1</v>
      </c>
      <c r="N203" s="28">
        <f>ROUND((E203*(J203*H203/1000)),4)</f>
        <v>4.36E-2</v>
      </c>
    </row>
    <row r="204" spans="1:17" s="91" customFormat="1" ht="15" customHeight="1" x14ac:dyDescent="0.2">
      <c r="A204" s="345"/>
      <c r="B204" s="1020"/>
      <c r="C204" s="561"/>
      <c r="D204" s="561"/>
      <c r="E204" s="561"/>
      <c r="F204" s="562"/>
      <c r="G204" s="562"/>
      <c r="H204" s="562"/>
      <c r="I204" s="562">
        <v>10.3</v>
      </c>
      <c r="J204" s="562">
        <v>43</v>
      </c>
      <c r="K204" s="563" t="s">
        <v>200</v>
      </c>
      <c r="L204" s="564" t="s">
        <v>153</v>
      </c>
      <c r="M204" s="319">
        <f>ROUND(((F203*(I204*G203/3600))*0.8),4)</f>
        <v>0.1144</v>
      </c>
      <c r="N204" s="319">
        <f>ROUND(((E203*(J204*H203/1000))*0.8),4)</f>
        <v>0.05</v>
      </c>
      <c r="Q204" s="289"/>
    </row>
    <row r="205" spans="1:17" s="91" customFormat="1" ht="15" customHeight="1" x14ac:dyDescent="0.2">
      <c r="A205" s="561"/>
      <c r="B205" s="1020"/>
      <c r="C205" s="561"/>
      <c r="D205" s="561"/>
      <c r="E205" s="561"/>
      <c r="F205" s="562"/>
      <c r="G205" s="562"/>
      <c r="H205" s="562"/>
      <c r="I205" s="562"/>
      <c r="J205" s="562"/>
      <c r="K205" s="563" t="s">
        <v>201</v>
      </c>
      <c r="L205" s="564" t="s">
        <v>202</v>
      </c>
      <c r="M205" s="319">
        <f>ROUND(((F203*(I204*G203/3600))*0.13),4)</f>
        <v>1.8599999999999998E-2</v>
      </c>
      <c r="N205" s="319">
        <f>ROUND(((E203*(J204*H203/1000))*0.13),4)</f>
        <v>8.0999999999999996E-3</v>
      </c>
    </row>
    <row r="206" spans="1:17" s="91" customFormat="1" ht="15" customHeight="1" x14ac:dyDescent="0.2">
      <c r="A206" s="561"/>
      <c r="B206" s="561"/>
      <c r="C206" s="561"/>
      <c r="D206" s="561"/>
      <c r="E206" s="561"/>
      <c r="F206" s="562"/>
      <c r="G206" s="562"/>
      <c r="H206" s="562"/>
      <c r="I206" s="321">
        <v>3.6</v>
      </c>
      <c r="J206" s="321">
        <v>15</v>
      </c>
      <c r="K206" s="565" t="s">
        <v>247</v>
      </c>
      <c r="L206" s="566">
        <v>2754</v>
      </c>
      <c r="M206" s="319">
        <f>ROUND((F203*(I206*G203/3600)),4)</f>
        <v>0.05</v>
      </c>
      <c r="N206" s="319">
        <f>ROUND(((E203*(J206*H203/1000))),4)</f>
        <v>2.18E-2</v>
      </c>
    </row>
    <row r="207" spans="1:17" s="91" customFormat="1" ht="15" customHeight="1" x14ac:dyDescent="0.2">
      <c r="A207" s="561"/>
      <c r="B207" s="561"/>
      <c r="C207" s="561"/>
      <c r="D207" s="561"/>
      <c r="E207" s="561"/>
      <c r="F207" s="562"/>
      <c r="G207" s="562"/>
      <c r="H207" s="562"/>
      <c r="I207" s="321">
        <v>0.7</v>
      </c>
      <c r="J207" s="321">
        <v>3</v>
      </c>
      <c r="K207" s="567" t="s">
        <v>638</v>
      </c>
      <c r="L207" s="566" t="s">
        <v>208</v>
      </c>
      <c r="M207" s="319">
        <f>ROUND((F203*(I207*G203/3600)),4)</f>
        <v>9.7000000000000003E-3</v>
      </c>
      <c r="N207" s="319">
        <f>ROUND(((E203*(J207*H203/1000))),4)</f>
        <v>4.4000000000000003E-3</v>
      </c>
    </row>
    <row r="208" spans="1:17" s="91" customFormat="1" ht="15" customHeight="1" x14ac:dyDescent="0.2">
      <c r="A208" s="561"/>
      <c r="B208" s="561"/>
      <c r="C208" s="561"/>
      <c r="D208" s="561"/>
      <c r="E208" s="561"/>
      <c r="F208" s="562"/>
      <c r="G208" s="562"/>
      <c r="H208" s="562"/>
      <c r="I208" s="321">
        <v>1.1000000000000001</v>
      </c>
      <c r="J208" s="321">
        <v>4.5</v>
      </c>
      <c r="K208" s="567" t="s">
        <v>246</v>
      </c>
      <c r="L208" s="566" t="s">
        <v>204</v>
      </c>
      <c r="M208" s="319">
        <f>ROUND((F203*(I208*G203/3600)),4)</f>
        <v>1.5299999999999999E-2</v>
      </c>
      <c r="N208" s="319">
        <f>ROUND(((E203*(J208*H203/1000))),4)</f>
        <v>6.4999999999999997E-3</v>
      </c>
    </row>
    <row r="209" spans="1:17" s="91" customFormat="1" ht="15" customHeight="1" x14ac:dyDescent="0.2">
      <c r="A209" s="561"/>
      <c r="B209" s="561"/>
      <c r="C209" s="561"/>
      <c r="D209" s="561"/>
      <c r="E209" s="561"/>
      <c r="F209" s="562"/>
      <c r="G209" s="562"/>
      <c r="H209" s="562"/>
      <c r="I209" s="568">
        <v>0.15</v>
      </c>
      <c r="J209" s="568">
        <v>0.6</v>
      </c>
      <c r="K209" s="567" t="s">
        <v>248</v>
      </c>
      <c r="L209" s="566" t="s">
        <v>249</v>
      </c>
      <c r="M209" s="319">
        <f>ROUND((F203*(I209*G203/3600)),4)</f>
        <v>2.0999999999999999E-3</v>
      </c>
      <c r="N209" s="319">
        <f>ROUND(((E203*(J209*H203/1000))),5)</f>
        <v>8.7000000000000001E-4</v>
      </c>
    </row>
    <row r="210" spans="1:17" s="91" customFormat="1" ht="15" customHeight="1" x14ac:dyDescent="0.2">
      <c r="A210" s="569"/>
      <c r="B210" s="569"/>
      <c r="C210" s="569"/>
      <c r="D210" s="570"/>
      <c r="E210" s="569"/>
      <c r="F210" s="571"/>
      <c r="G210" s="571"/>
      <c r="H210" s="571"/>
      <c r="I210" s="321">
        <v>1.2999999999999999E-5</v>
      </c>
      <c r="J210" s="321">
        <v>5.5000000000000002E-5</v>
      </c>
      <c r="K210" s="567" t="s">
        <v>639</v>
      </c>
      <c r="L210" s="566" t="s">
        <v>640</v>
      </c>
      <c r="M210" s="319">
        <f>ROUND((F203*(I210*G203/3600)),7)</f>
        <v>1.9999999999999999E-7</v>
      </c>
      <c r="N210" s="319">
        <f>ROUND(((E203*(J210*H203/1000))),9)</f>
        <v>8.0000000000000002E-8</v>
      </c>
      <c r="O210" s="91">
        <f>SUM(M203:M210)</f>
        <v>0.31010019999999999</v>
      </c>
      <c r="P210" s="91">
        <f>SUM(N203:N210)</f>
        <v>0.13527008000000001</v>
      </c>
    </row>
    <row r="211" spans="1:17" s="138" customFormat="1" ht="15" customHeight="1" x14ac:dyDescent="0.2">
      <c r="A211" s="1021" t="s">
        <v>121</v>
      </c>
      <c r="B211" s="1022"/>
      <c r="C211" s="1022"/>
      <c r="D211" s="1022"/>
      <c r="E211" s="1022"/>
      <c r="F211" s="1022"/>
      <c r="G211" s="1022"/>
      <c r="H211" s="1022"/>
      <c r="I211" s="1022"/>
      <c r="J211" s="1022"/>
      <c r="K211" s="1022"/>
      <c r="L211" s="1022"/>
      <c r="M211" s="1022"/>
      <c r="N211" s="1023"/>
      <c r="O211" s="672">
        <f>SUM(O202:O210)</f>
        <v>0.49630029999999992</v>
      </c>
      <c r="P211" s="673">
        <f>SUM(P202:P210)</f>
        <v>0.21629013000000002</v>
      </c>
      <c r="Q211" s="674">
        <v>2048</v>
      </c>
    </row>
    <row r="212" spans="1:17" s="554" customFormat="1" ht="15" customHeight="1" x14ac:dyDescent="0.2">
      <c r="A212" s="557" t="s">
        <v>544</v>
      </c>
      <c r="B212" s="1020" t="s">
        <v>251</v>
      </c>
      <c r="C212" s="523" t="s">
        <v>245</v>
      </c>
      <c r="D212" s="523" t="s">
        <v>188</v>
      </c>
      <c r="E212" s="523">
        <v>1</v>
      </c>
      <c r="F212" s="523">
        <v>1</v>
      </c>
      <c r="G212" s="523">
        <v>30</v>
      </c>
      <c r="H212" s="523">
        <v>1.49</v>
      </c>
      <c r="I212" s="558">
        <v>7.2</v>
      </c>
      <c r="J212" s="558">
        <v>30</v>
      </c>
      <c r="K212" s="559" t="s">
        <v>170</v>
      </c>
      <c r="L212" s="560" t="s">
        <v>162</v>
      </c>
      <c r="M212" s="556">
        <f>ROUND((F212*(I212*G212/3600)),4)</f>
        <v>0.06</v>
      </c>
      <c r="N212" s="556">
        <f>ROUND((E212*(J212*H212/1000)),4)</f>
        <v>4.4699999999999997E-2</v>
      </c>
      <c r="O212" s="575"/>
    </row>
    <row r="213" spans="1:17" s="91" customFormat="1" ht="15" customHeight="1" x14ac:dyDescent="0.2">
      <c r="A213" s="345"/>
      <c r="B213" s="1020"/>
      <c r="C213" s="561"/>
      <c r="D213" s="561"/>
      <c r="E213" s="561"/>
      <c r="F213" s="562"/>
      <c r="G213" s="562"/>
      <c r="H213" s="562"/>
      <c r="I213" s="562">
        <v>10.3</v>
      </c>
      <c r="J213" s="562">
        <v>43</v>
      </c>
      <c r="K213" s="563" t="s">
        <v>200</v>
      </c>
      <c r="L213" s="564" t="s">
        <v>153</v>
      </c>
      <c r="M213" s="319">
        <f>ROUND(((F212*(I213*G212/3600))*0.8),4)</f>
        <v>6.8699999999999997E-2</v>
      </c>
      <c r="N213" s="319">
        <f>ROUND(((E212*(J213*H212/1000))*0.8),4)</f>
        <v>5.1299999999999998E-2</v>
      </c>
      <c r="O213" s="575"/>
      <c r="Q213" s="289"/>
    </row>
    <row r="214" spans="1:17" s="91" customFormat="1" ht="15" customHeight="1" x14ac:dyDescent="0.2">
      <c r="A214" s="561"/>
      <c r="B214" s="1020"/>
      <c r="C214" s="561"/>
      <c r="D214" s="561"/>
      <c r="E214" s="561"/>
      <c r="F214" s="562"/>
      <c r="G214" s="562"/>
      <c r="H214" s="562"/>
      <c r="I214" s="562"/>
      <c r="J214" s="562"/>
      <c r="K214" s="563" t="s">
        <v>201</v>
      </c>
      <c r="L214" s="564" t="s">
        <v>202</v>
      </c>
      <c r="M214" s="319">
        <f>ROUND(((F212*(I213*G212/3600))*0.13),4)</f>
        <v>1.12E-2</v>
      </c>
      <c r="N214" s="319">
        <f>ROUND(((E212*(J213*H212/1000))*0.13),4)</f>
        <v>8.3000000000000001E-3</v>
      </c>
      <c r="O214" s="575"/>
    </row>
    <row r="215" spans="1:17" s="91" customFormat="1" ht="15" customHeight="1" x14ac:dyDescent="0.2">
      <c r="A215" s="561"/>
      <c r="B215" s="561"/>
      <c r="C215" s="561"/>
      <c r="D215" s="561"/>
      <c r="E215" s="561"/>
      <c r="F215" s="562"/>
      <c r="G215" s="562"/>
      <c r="H215" s="562"/>
      <c r="I215" s="321">
        <v>3.6</v>
      </c>
      <c r="J215" s="321">
        <v>15</v>
      </c>
      <c r="K215" s="565" t="s">
        <v>247</v>
      </c>
      <c r="L215" s="566">
        <v>2754</v>
      </c>
      <c r="M215" s="319">
        <f>ROUND((F212*(I215*G212/3600)),4)</f>
        <v>0.03</v>
      </c>
      <c r="N215" s="319">
        <f>ROUND(((E212*(J215*H212/1000))),4)</f>
        <v>2.24E-2</v>
      </c>
      <c r="O215" s="575"/>
    </row>
    <row r="216" spans="1:17" s="91" customFormat="1" ht="15" customHeight="1" x14ac:dyDescent="0.2">
      <c r="A216" s="561"/>
      <c r="B216" s="561"/>
      <c r="C216" s="561"/>
      <c r="D216" s="561"/>
      <c r="E216" s="561"/>
      <c r="F216" s="562"/>
      <c r="G216" s="562"/>
      <c r="H216" s="562"/>
      <c r="I216" s="321">
        <v>0.7</v>
      </c>
      <c r="J216" s="321">
        <v>3</v>
      </c>
      <c r="K216" s="567" t="s">
        <v>638</v>
      </c>
      <c r="L216" s="566" t="s">
        <v>208</v>
      </c>
      <c r="M216" s="319">
        <f>ROUND((F212*(I216*G212/3600)),4)</f>
        <v>5.7999999999999996E-3</v>
      </c>
      <c r="N216" s="319">
        <f>ROUND(((E212*(J216*H212/1000))),4)</f>
        <v>4.4999999999999997E-3</v>
      </c>
      <c r="O216" s="575"/>
    </row>
    <row r="217" spans="1:17" s="91" customFormat="1" ht="15" customHeight="1" x14ac:dyDescent="0.2">
      <c r="A217" s="561"/>
      <c r="B217" s="561"/>
      <c r="C217" s="561"/>
      <c r="D217" s="561"/>
      <c r="E217" s="561"/>
      <c r="F217" s="562"/>
      <c r="G217" s="562"/>
      <c r="H217" s="562"/>
      <c r="I217" s="321">
        <v>1.1000000000000001</v>
      </c>
      <c r="J217" s="321">
        <v>4.5</v>
      </c>
      <c r="K217" s="567" t="s">
        <v>246</v>
      </c>
      <c r="L217" s="566" t="s">
        <v>204</v>
      </c>
      <c r="M217" s="319">
        <f>ROUND((F212*(I217*G212/3600)),4)</f>
        <v>9.1999999999999998E-3</v>
      </c>
      <c r="N217" s="319">
        <f>ROUND(((E212*(J217*H212/1000))),4)</f>
        <v>6.7000000000000002E-3</v>
      </c>
    </row>
    <row r="218" spans="1:17" s="91" customFormat="1" ht="15" customHeight="1" x14ac:dyDescent="0.2">
      <c r="A218" s="561"/>
      <c r="B218" s="561"/>
      <c r="C218" s="561"/>
      <c r="D218" s="561"/>
      <c r="E218" s="561"/>
      <c r="F218" s="562"/>
      <c r="G218" s="562"/>
      <c r="H218" s="562"/>
      <c r="I218" s="568">
        <v>0.15</v>
      </c>
      <c r="J218" s="568">
        <v>0.6</v>
      </c>
      <c r="K218" s="567" t="s">
        <v>248</v>
      </c>
      <c r="L218" s="566" t="s">
        <v>249</v>
      </c>
      <c r="M218" s="319">
        <f>ROUND((F212*(I218*G212/3600)),4)</f>
        <v>1.2999999999999999E-3</v>
      </c>
      <c r="N218" s="319">
        <f>ROUND(((E212*(J218*H212/1000))),5)</f>
        <v>8.8999999999999995E-4</v>
      </c>
    </row>
    <row r="219" spans="1:17" s="91" customFormat="1" ht="15" customHeight="1" x14ac:dyDescent="0.2">
      <c r="A219" s="569"/>
      <c r="B219" s="569"/>
      <c r="C219" s="569"/>
      <c r="D219" s="570"/>
      <c r="E219" s="569"/>
      <c r="F219" s="571"/>
      <c r="G219" s="571"/>
      <c r="H219" s="571"/>
      <c r="I219" s="321">
        <v>1.2999999999999999E-5</v>
      </c>
      <c r="J219" s="321">
        <v>5.5000000000000002E-5</v>
      </c>
      <c r="K219" s="567" t="s">
        <v>639</v>
      </c>
      <c r="L219" s="566" t="s">
        <v>640</v>
      </c>
      <c r="M219" s="319">
        <f>ROUND((F212*(I219*G212/3600)),7)</f>
        <v>9.9999999999999995E-8</v>
      </c>
      <c r="N219" s="319">
        <f>ROUND(((E212*(J219*H212/1000))),7)</f>
        <v>9.9999999999999995E-8</v>
      </c>
      <c r="O219" s="91">
        <f>SUM(M212:M219)</f>
        <v>0.18620009999999995</v>
      </c>
      <c r="P219" s="91">
        <f>SUM(N212:N219)</f>
        <v>0.13879010000000003</v>
      </c>
    </row>
    <row r="220" spans="1:17" s="554" customFormat="1" ht="15" customHeight="1" x14ac:dyDescent="0.2">
      <c r="A220" s="572" t="s">
        <v>545</v>
      </c>
      <c r="B220" s="862" t="s">
        <v>641</v>
      </c>
      <c r="C220" s="523" t="s">
        <v>245</v>
      </c>
      <c r="D220" s="523" t="s">
        <v>188</v>
      </c>
      <c r="E220" s="523">
        <v>1</v>
      </c>
      <c r="F220" s="523">
        <v>1</v>
      </c>
      <c r="G220" s="523">
        <v>50</v>
      </c>
      <c r="H220" s="344">
        <v>2.4916</v>
      </c>
      <c r="I220" s="488">
        <v>7.2</v>
      </c>
      <c r="J220" s="488">
        <v>30</v>
      </c>
      <c r="K220" s="559" t="s">
        <v>170</v>
      </c>
      <c r="L220" s="33" t="s">
        <v>162</v>
      </c>
      <c r="M220" s="28">
        <f>ROUND((F220*(I220*G220/3600)),4)</f>
        <v>0.1</v>
      </c>
      <c r="N220" s="28">
        <f>ROUND((E220*(J220*H220/1000)),4)</f>
        <v>7.4700000000000003E-2</v>
      </c>
    </row>
    <row r="221" spans="1:17" s="91" customFormat="1" ht="15" customHeight="1" x14ac:dyDescent="0.2">
      <c r="A221" s="345"/>
      <c r="B221" s="1020"/>
      <c r="C221" s="561"/>
      <c r="D221" s="561"/>
      <c r="E221" s="561"/>
      <c r="F221" s="562"/>
      <c r="G221" s="562"/>
      <c r="H221" s="562"/>
      <c r="I221" s="562">
        <v>10.3</v>
      </c>
      <c r="J221" s="562">
        <v>43</v>
      </c>
      <c r="K221" s="563" t="s">
        <v>200</v>
      </c>
      <c r="L221" s="564" t="s">
        <v>153</v>
      </c>
      <c r="M221" s="319">
        <f>ROUND(((F220*(I221*G220/3600))*0.8),4)</f>
        <v>0.1144</v>
      </c>
      <c r="N221" s="319">
        <f>ROUND(((E220*(J221*H220/1000))*0.8),4)</f>
        <v>8.5699999999999998E-2</v>
      </c>
      <c r="Q221" s="289"/>
    </row>
    <row r="222" spans="1:17" s="91" customFormat="1" ht="15" customHeight="1" x14ac:dyDescent="0.2">
      <c r="A222" s="561"/>
      <c r="B222" s="1020"/>
      <c r="C222" s="561"/>
      <c r="D222" s="561"/>
      <c r="E222" s="561"/>
      <c r="F222" s="562"/>
      <c r="G222" s="562"/>
      <c r="H222" s="562"/>
      <c r="I222" s="562"/>
      <c r="J222" s="562"/>
      <c r="K222" s="563" t="s">
        <v>201</v>
      </c>
      <c r="L222" s="564" t="s">
        <v>202</v>
      </c>
      <c r="M222" s="319">
        <f>ROUND(((F220*(I221*G220/3600))*0.13),4)</f>
        <v>1.8599999999999998E-2</v>
      </c>
      <c r="N222" s="319">
        <f>ROUND(((E220*(J221*H220/1000))*0.13),4)</f>
        <v>1.3899999999999999E-2</v>
      </c>
    </row>
    <row r="223" spans="1:17" s="91" customFormat="1" ht="15" customHeight="1" x14ac:dyDescent="0.2">
      <c r="A223" s="561"/>
      <c r="B223" s="561"/>
      <c r="C223" s="561"/>
      <c r="D223" s="561"/>
      <c r="E223" s="561"/>
      <c r="F223" s="562"/>
      <c r="G223" s="562"/>
      <c r="H223" s="562"/>
      <c r="I223" s="321">
        <v>3.6</v>
      </c>
      <c r="J223" s="321">
        <v>15</v>
      </c>
      <c r="K223" s="565" t="s">
        <v>247</v>
      </c>
      <c r="L223" s="566">
        <v>2754</v>
      </c>
      <c r="M223" s="319">
        <f>ROUND((F220*(I223*G220/3600)),4)</f>
        <v>0.05</v>
      </c>
      <c r="N223" s="319">
        <f>ROUND(((E220*(J223*H220/1000))),4)</f>
        <v>3.7400000000000003E-2</v>
      </c>
    </row>
    <row r="224" spans="1:17" s="91" customFormat="1" ht="15" customHeight="1" x14ac:dyDescent="0.2">
      <c r="A224" s="561"/>
      <c r="B224" s="561"/>
      <c r="C224" s="561"/>
      <c r="D224" s="561"/>
      <c r="E224" s="561"/>
      <c r="F224" s="562"/>
      <c r="G224" s="562"/>
      <c r="H224" s="562"/>
      <c r="I224" s="321">
        <v>0.7</v>
      </c>
      <c r="J224" s="321">
        <v>3</v>
      </c>
      <c r="K224" s="567" t="s">
        <v>638</v>
      </c>
      <c r="L224" s="566" t="s">
        <v>208</v>
      </c>
      <c r="M224" s="319">
        <f>ROUND((F220*(I224*G220/3600)),4)</f>
        <v>9.7000000000000003E-3</v>
      </c>
      <c r="N224" s="319">
        <f>ROUND(((E220*(J224*H220/1000))),4)</f>
        <v>7.4999999999999997E-3</v>
      </c>
    </row>
    <row r="225" spans="1:17" s="91" customFormat="1" ht="15" customHeight="1" x14ac:dyDescent="0.2">
      <c r="A225" s="561"/>
      <c r="B225" s="561"/>
      <c r="C225" s="561"/>
      <c r="D225" s="561"/>
      <c r="E225" s="561"/>
      <c r="F225" s="562"/>
      <c r="G225" s="562"/>
      <c r="H225" s="562"/>
      <c r="I225" s="321">
        <v>1.1000000000000001</v>
      </c>
      <c r="J225" s="321">
        <v>4.5</v>
      </c>
      <c r="K225" s="567" t="s">
        <v>246</v>
      </c>
      <c r="L225" s="566" t="s">
        <v>204</v>
      </c>
      <c r="M225" s="319">
        <f>ROUND((F220*(I225*G220/3600)),4)</f>
        <v>1.5299999999999999E-2</v>
      </c>
      <c r="N225" s="319">
        <f>ROUND(((E220*(J225*H220/1000))),4)</f>
        <v>1.12E-2</v>
      </c>
    </row>
    <row r="226" spans="1:17" s="91" customFormat="1" ht="15" customHeight="1" x14ac:dyDescent="0.2">
      <c r="A226" s="561"/>
      <c r="B226" s="561"/>
      <c r="C226" s="561"/>
      <c r="D226" s="561"/>
      <c r="E226" s="561"/>
      <c r="F226" s="562"/>
      <c r="G226" s="562"/>
      <c r="H226" s="562"/>
      <c r="I226" s="568">
        <v>0.15</v>
      </c>
      <c r="J226" s="568">
        <v>0.6</v>
      </c>
      <c r="K226" s="567" t="s">
        <v>248</v>
      </c>
      <c r="L226" s="566" t="s">
        <v>249</v>
      </c>
      <c r="M226" s="319">
        <f>ROUND((F220*(I226*G220/3600)),4)</f>
        <v>2.0999999999999999E-3</v>
      </c>
      <c r="N226" s="319">
        <f>ROUND(((E220*(J226*H220/1000))),5)</f>
        <v>1.49E-3</v>
      </c>
    </row>
    <row r="227" spans="1:17" s="91" customFormat="1" ht="15" customHeight="1" x14ac:dyDescent="0.2">
      <c r="A227" s="569"/>
      <c r="B227" s="569"/>
      <c r="C227" s="569"/>
      <c r="D227" s="570"/>
      <c r="E227" s="569"/>
      <c r="F227" s="571"/>
      <c r="G227" s="571"/>
      <c r="H227" s="571"/>
      <c r="I227" s="321">
        <v>1.2999999999999999E-5</v>
      </c>
      <c r="J227" s="321">
        <v>5.5000000000000002E-5</v>
      </c>
      <c r="K227" s="567" t="s">
        <v>639</v>
      </c>
      <c r="L227" s="566" t="s">
        <v>640</v>
      </c>
      <c r="M227" s="319">
        <f>ROUND((F220*(I227*G220/3600)),7)</f>
        <v>1.9999999999999999E-7</v>
      </c>
      <c r="N227" s="319">
        <f>ROUND(((E220*(J227*H220/1000))),9)</f>
        <v>1.37E-7</v>
      </c>
      <c r="O227" s="91">
        <f>SUM(M220:M227)</f>
        <v>0.31010019999999999</v>
      </c>
      <c r="P227" s="91">
        <f>SUM(N220:N227)</f>
        <v>0.231890137</v>
      </c>
    </row>
    <row r="228" spans="1:17" s="138" customFormat="1" ht="15" customHeight="1" x14ac:dyDescent="0.2">
      <c r="A228" s="1021" t="s">
        <v>122</v>
      </c>
      <c r="B228" s="1022"/>
      <c r="C228" s="1022"/>
      <c r="D228" s="1022"/>
      <c r="E228" s="1022"/>
      <c r="F228" s="1022"/>
      <c r="G228" s="1022"/>
      <c r="H228" s="1022"/>
      <c r="I228" s="1022"/>
      <c r="J228" s="1022"/>
      <c r="K228" s="1022"/>
      <c r="L228" s="1022"/>
      <c r="M228" s="1022"/>
      <c r="N228" s="1023"/>
      <c r="O228" s="672">
        <f>SUM(O219:O227)</f>
        <v>0.49630029999999992</v>
      </c>
      <c r="P228" s="673">
        <f>SUM(P219:P227)</f>
        <v>0.37068023700000002</v>
      </c>
      <c r="Q228" s="674">
        <v>2049</v>
      </c>
    </row>
    <row r="229" spans="1:17" s="554" customFormat="1" ht="15" customHeight="1" x14ac:dyDescent="0.2">
      <c r="A229" s="557" t="s">
        <v>544</v>
      </c>
      <c r="B229" s="1020" t="s">
        <v>251</v>
      </c>
      <c r="C229" s="523" t="s">
        <v>245</v>
      </c>
      <c r="D229" s="523" t="s">
        <v>188</v>
      </c>
      <c r="E229" s="523">
        <v>1</v>
      </c>
      <c r="F229" s="523">
        <v>1</v>
      </c>
      <c r="G229" s="523">
        <v>30</v>
      </c>
      <c r="H229" s="523">
        <v>1.49</v>
      </c>
      <c r="I229" s="558">
        <v>7.2</v>
      </c>
      <c r="J229" s="558">
        <v>30</v>
      </c>
      <c r="K229" s="559" t="s">
        <v>170</v>
      </c>
      <c r="L229" s="560" t="s">
        <v>162</v>
      </c>
      <c r="M229" s="556">
        <f>ROUND((F229*(I229*G229/3600)),4)</f>
        <v>0.06</v>
      </c>
      <c r="N229" s="556">
        <f>ROUND((E229*(J229*H229/1000)),4)</f>
        <v>4.4699999999999997E-2</v>
      </c>
      <c r="O229" s="575"/>
    </row>
    <row r="230" spans="1:17" s="91" customFormat="1" ht="15" customHeight="1" x14ac:dyDescent="0.2">
      <c r="A230" s="345"/>
      <c r="B230" s="1020"/>
      <c r="C230" s="561"/>
      <c r="D230" s="561"/>
      <c r="E230" s="561"/>
      <c r="F230" s="562"/>
      <c r="G230" s="562"/>
      <c r="H230" s="562"/>
      <c r="I230" s="562">
        <v>10.3</v>
      </c>
      <c r="J230" s="562">
        <v>43</v>
      </c>
      <c r="K230" s="563" t="s">
        <v>200</v>
      </c>
      <c r="L230" s="564" t="s">
        <v>153</v>
      </c>
      <c r="M230" s="319">
        <f>ROUND(((F229*(I230*G229/3600))*0.8),4)</f>
        <v>6.8699999999999997E-2</v>
      </c>
      <c r="N230" s="319">
        <f>ROUND(((E229*(J230*H229/1000))*0.8),4)</f>
        <v>5.1299999999999998E-2</v>
      </c>
      <c r="O230" s="575"/>
      <c r="Q230" s="289"/>
    </row>
    <row r="231" spans="1:17" s="91" customFormat="1" ht="15" customHeight="1" x14ac:dyDescent="0.2">
      <c r="A231" s="561"/>
      <c r="B231" s="1020"/>
      <c r="C231" s="561"/>
      <c r="D231" s="561"/>
      <c r="E231" s="561"/>
      <c r="F231" s="562"/>
      <c r="G231" s="562"/>
      <c r="H231" s="562"/>
      <c r="I231" s="562"/>
      <c r="J231" s="562"/>
      <c r="K231" s="563" t="s">
        <v>201</v>
      </c>
      <c r="L231" s="564" t="s">
        <v>202</v>
      </c>
      <c r="M231" s="319">
        <f>ROUND(((F229*(I230*G229/3600))*0.13),4)</f>
        <v>1.12E-2</v>
      </c>
      <c r="N231" s="319">
        <f>ROUND(((E229*(J230*H229/1000))*0.13),4)</f>
        <v>8.3000000000000001E-3</v>
      </c>
      <c r="O231" s="575"/>
    </row>
    <row r="232" spans="1:17" s="91" customFormat="1" ht="15" customHeight="1" x14ac:dyDescent="0.2">
      <c r="A232" s="561"/>
      <c r="B232" s="561"/>
      <c r="C232" s="561"/>
      <c r="D232" s="561"/>
      <c r="E232" s="561"/>
      <c r="F232" s="562"/>
      <c r="G232" s="562"/>
      <c r="H232" s="562"/>
      <c r="I232" s="321">
        <v>3.6</v>
      </c>
      <c r="J232" s="321">
        <v>15</v>
      </c>
      <c r="K232" s="565" t="s">
        <v>247</v>
      </c>
      <c r="L232" s="566">
        <v>2754</v>
      </c>
      <c r="M232" s="319">
        <f>ROUND((F229*(I232*G229/3600)),4)</f>
        <v>0.03</v>
      </c>
      <c r="N232" s="319">
        <f>ROUND(((E229*(J232*H229/1000))),4)</f>
        <v>2.24E-2</v>
      </c>
      <c r="O232" s="575"/>
    </row>
    <row r="233" spans="1:17" s="91" customFormat="1" ht="15" customHeight="1" x14ac:dyDescent="0.2">
      <c r="A233" s="561"/>
      <c r="B233" s="561"/>
      <c r="C233" s="561"/>
      <c r="D233" s="561"/>
      <c r="E233" s="561"/>
      <c r="F233" s="562"/>
      <c r="G233" s="562"/>
      <c r="H233" s="562"/>
      <c r="I233" s="321">
        <v>0.7</v>
      </c>
      <c r="J233" s="321">
        <v>3</v>
      </c>
      <c r="K233" s="567" t="s">
        <v>638</v>
      </c>
      <c r="L233" s="566" t="s">
        <v>208</v>
      </c>
      <c r="M233" s="319">
        <f>ROUND((F229*(I233*G229/3600)),4)</f>
        <v>5.7999999999999996E-3</v>
      </c>
      <c r="N233" s="319">
        <f>ROUND(((E229*(J233*H229/1000))),4)</f>
        <v>4.4999999999999997E-3</v>
      </c>
      <c r="O233" s="575"/>
    </row>
    <row r="234" spans="1:17" s="91" customFormat="1" ht="15" customHeight="1" x14ac:dyDescent="0.2">
      <c r="A234" s="561"/>
      <c r="B234" s="561"/>
      <c r="C234" s="561"/>
      <c r="D234" s="561"/>
      <c r="E234" s="561"/>
      <c r="F234" s="562"/>
      <c r="G234" s="562"/>
      <c r="H234" s="562"/>
      <c r="I234" s="321">
        <v>1.1000000000000001</v>
      </c>
      <c r="J234" s="321">
        <v>4.5</v>
      </c>
      <c r="K234" s="567" t="s">
        <v>246</v>
      </c>
      <c r="L234" s="566" t="s">
        <v>204</v>
      </c>
      <c r="M234" s="319">
        <f>ROUND((F229*(I234*G229/3600)),4)</f>
        <v>9.1999999999999998E-3</v>
      </c>
      <c r="N234" s="319">
        <f>ROUND(((E229*(J234*H229/1000))),4)</f>
        <v>6.7000000000000002E-3</v>
      </c>
    </row>
    <row r="235" spans="1:17" s="91" customFormat="1" ht="15" customHeight="1" x14ac:dyDescent="0.2">
      <c r="A235" s="561"/>
      <c r="B235" s="561"/>
      <c r="C235" s="561"/>
      <c r="D235" s="561"/>
      <c r="E235" s="561"/>
      <c r="F235" s="562"/>
      <c r="G235" s="562"/>
      <c r="H235" s="562"/>
      <c r="I235" s="568">
        <v>0.15</v>
      </c>
      <c r="J235" s="568">
        <v>0.6</v>
      </c>
      <c r="K235" s="567" t="s">
        <v>248</v>
      </c>
      <c r="L235" s="566" t="s">
        <v>249</v>
      </c>
      <c r="M235" s="319">
        <f>ROUND((F229*(I235*G229/3600)),4)</f>
        <v>1.2999999999999999E-3</v>
      </c>
      <c r="N235" s="319">
        <f>ROUND(((E229*(J235*H229/1000))),5)</f>
        <v>8.8999999999999995E-4</v>
      </c>
    </row>
    <row r="236" spans="1:17" s="91" customFormat="1" ht="15" customHeight="1" x14ac:dyDescent="0.2">
      <c r="A236" s="569"/>
      <c r="B236" s="569"/>
      <c r="C236" s="569"/>
      <c r="D236" s="570"/>
      <c r="E236" s="569"/>
      <c r="F236" s="571"/>
      <c r="G236" s="571"/>
      <c r="H236" s="571"/>
      <c r="I236" s="321">
        <v>1.2999999999999999E-5</v>
      </c>
      <c r="J236" s="321">
        <v>5.5000000000000002E-5</v>
      </c>
      <c r="K236" s="567" t="s">
        <v>639</v>
      </c>
      <c r="L236" s="566" t="s">
        <v>640</v>
      </c>
      <c r="M236" s="319">
        <f>ROUND((F229*(I236*G229/3600)),7)</f>
        <v>9.9999999999999995E-8</v>
      </c>
      <c r="N236" s="319">
        <f>ROUND(((E229*(J236*H229/1000))),7)</f>
        <v>9.9999999999999995E-8</v>
      </c>
      <c r="O236" s="91">
        <f>SUM(M229:M236)</f>
        <v>0.18620009999999995</v>
      </c>
      <c r="P236" s="91">
        <f>SUM(N229:N236)</f>
        <v>0.13879010000000003</v>
      </c>
    </row>
    <row r="237" spans="1:17" s="554" customFormat="1" ht="15" customHeight="1" x14ac:dyDescent="0.2">
      <c r="A237" s="572" t="s">
        <v>545</v>
      </c>
      <c r="B237" s="862" t="s">
        <v>641</v>
      </c>
      <c r="C237" s="523" t="s">
        <v>245</v>
      </c>
      <c r="D237" s="523" t="s">
        <v>188</v>
      </c>
      <c r="E237" s="523">
        <v>1</v>
      </c>
      <c r="F237" s="523">
        <v>1</v>
      </c>
      <c r="G237" s="523">
        <v>50</v>
      </c>
      <c r="H237" s="344">
        <v>2.4916</v>
      </c>
      <c r="I237" s="488">
        <v>7.2</v>
      </c>
      <c r="J237" s="488">
        <v>30</v>
      </c>
      <c r="K237" s="559" t="s">
        <v>170</v>
      </c>
      <c r="L237" s="33" t="s">
        <v>162</v>
      </c>
      <c r="M237" s="28">
        <f>ROUND((F237*(I237*G237/3600)),4)</f>
        <v>0.1</v>
      </c>
      <c r="N237" s="28">
        <f>ROUND((E237*(J237*H237/1000)),4)</f>
        <v>7.4700000000000003E-2</v>
      </c>
    </row>
    <row r="238" spans="1:17" s="91" customFormat="1" ht="15" customHeight="1" x14ac:dyDescent="0.2">
      <c r="A238" s="345"/>
      <c r="B238" s="1020"/>
      <c r="C238" s="561"/>
      <c r="D238" s="561"/>
      <c r="E238" s="561"/>
      <c r="F238" s="562"/>
      <c r="G238" s="562"/>
      <c r="H238" s="562"/>
      <c r="I238" s="562">
        <v>10.3</v>
      </c>
      <c r="J238" s="562">
        <v>43</v>
      </c>
      <c r="K238" s="563" t="s">
        <v>200</v>
      </c>
      <c r="L238" s="564" t="s">
        <v>153</v>
      </c>
      <c r="M238" s="319">
        <f>ROUND(((F237*(I238*G237/3600))*0.8),4)</f>
        <v>0.1144</v>
      </c>
      <c r="N238" s="319">
        <f>ROUND(((E237*(J238*H237/1000))*0.8),4)</f>
        <v>8.5699999999999998E-2</v>
      </c>
      <c r="Q238" s="289"/>
    </row>
    <row r="239" spans="1:17" s="91" customFormat="1" ht="15" customHeight="1" x14ac:dyDescent="0.2">
      <c r="A239" s="561"/>
      <c r="B239" s="1020"/>
      <c r="C239" s="561"/>
      <c r="D239" s="561"/>
      <c r="E239" s="561"/>
      <c r="F239" s="562"/>
      <c r="G239" s="562"/>
      <c r="H239" s="562"/>
      <c r="I239" s="562"/>
      <c r="J239" s="562"/>
      <c r="K239" s="563" t="s">
        <v>201</v>
      </c>
      <c r="L239" s="564" t="s">
        <v>202</v>
      </c>
      <c r="M239" s="319">
        <f>ROUND(((F237*(I238*G237/3600))*0.13),4)</f>
        <v>1.8599999999999998E-2</v>
      </c>
      <c r="N239" s="319">
        <f>ROUND(((E237*(J238*H237/1000))*0.13),4)</f>
        <v>1.3899999999999999E-2</v>
      </c>
    </row>
    <row r="240" spans="1:17" s="91" customFormat="1" ht="15" customHeight="1" x14ac:dyDescent="0.2">
      <c r="A240" s="561"/>
      <c r="B240" s="561"/>
      <c r="C240" s="561"/>
      <c r="D240" s="561"/>
      <c r="E240" s="561"/>
      <c r="F240" s="562"/>
      <c r="G240" s="562"/>
      <c r="H240" s="562"/>
      <c r="I240" s="321">
        <v>3.6</v>
      </c>
      <c r="J240" s="321">
        <v>15</v>
      </c>
      <c r="K240" s="565" t="s">
        <v>247</v>
      </c>
      <c r="L240" s="566">
        <v>2754</v>
      </c>
      <c r="M240" s="319">
        <f>ROUND((F237*(I240*G237/3600)),4)</f>
        <v>0.05</v>
      </c>
      <c r="N240" s="319">
        <f>ROUND(((E237*(J240*H237/1000))),4)</f>
        <v>3.7400000000000003E-2</v>
      </c>
    </row>
    <row r="241" spans="1:17" s="91" customFormat="1" ht="15" customHeight="1" x14ac:dyDescent="0.2">
      <c r="A241" s="561"/>
      <c r="B241" s="561"/>
      <c r="C241" s="561"/>
      <c r="D241" s="561"/>
      <c r="E241" s="561"/>
      <c r="F241" s="562"/>
      <c r="G241" s="562"/>
      <c r="H241" s="562"/>
      <c r="I241" s="321">
        <v>0.7</v>
      </c>
      <c r="J241" s="321">
        <v>3</v>
      </c>
      <c r="K241" s="567" t="s">
        <v>638</v>
      </c>
      <c r="L241" s="566" t="s">
        <v>208</v>
      </c>
      <c r="M241" s="319">
        <f>ROUND((F237*(I241*G237/3600)),4)</f>
        <v>9.7000000000000003E-3</v>
      </c>
      <c r="N241" s="319">
        <f>ROUND(((E237*(J241*H237/1000))),4)</f>
        <v>7.4999999999999997E-3</v>
      </c>
    </row>
    <row r="242" spans="1:17" s="91" customFormat="1" ht="15" customHeight="1" x14ac:dyDescent="0.2">
      <c r="A242" s="561"/>
      <c r="B242" s="561"/>
      <c r="C242" s="561"/>
      <c r="D242" s="561"/>
      <c r="E242" s="561"/>
      <c r="F242" s="562"/>
      <c r="G242" s="562"/>
      <c r="H242" s="562"/>
      <c r="I242" s="321">
        <v>1.1000000000000001</v>
      </c>
      <c r="J242" s="321">
        <v>4.5</v>
      </c>
      <c r="K242" s="567" t="s">
        <v>246</v>
      </c>
      <c r="L242" s="566" t="s">
        <v>204</v>
      </c>
      <c r="M242" s="319">
        <f>ROUND((F237*(I242*G237/3600)),4)</f>
        <v>1.5299999999999999E-2</v>
      </c>
      <c r="N242" s="319">
        <f>ROUND(((E237*(J242*H237/1000))),4)</f>
        <v>1.12E-2</v>
      </c>
    </row>
    <row r="243" spans="1:17" s="91" customFormat="1" ht="15" customHeight="1" x14ac:dyDescent="0.2">
      <c r="A243" s="561"/>
      <c r="B243" s="561"/>
      <c r="C243" s="561"/>
      <c r="D243" s="561"/>
      <c r="E243" s="561"/>
      <c r="F243" s="562"/>
      <c r="G243" s="562"/>
      <c r="H243" s="562"/>
      <c r="I243" s="568">
        <v>0.15</v>
      </c>
      <c r="J243" s="568">
        <v>0.6</v>
      </c>
      <c r="K243" s="567" t="s">
        <v>248</v>
      </c>
      <c r="L243" s="566" t="s">
        <v>249</v>
      </c>
      <c r="M243" s="319">
        <f>ROUND((F237*(I243*G237/3600)),4)</f>
        <v>2.0999999999999999E-3</v>
      </c>
      <c r="N243" s="319">
        <f>ROUND(((E237*(J243*H237/1000))),5)</f>
        <v>1.49E-3</v>
      </c>
    </row>
    <row r="244" spans="1:17" s="91" customFormat="1" ht="15" customHeight="1" x14ac:dyDescent="0.2">
      <c r="A244" s="569"/>
      <c r="B244" s="569"/>
      <c r="C244" s="569"/>
      <c r="D244" s="570"/>
      <c r="E244" s="569"/>
      <c r="F244" s="571"/>
      <c r="G244" s="571"/>
      <c r="H244" s="571"/>
      <c r="I244" s="321">
        <v>1.2999999999999999E-5</v>
      </c>
      <c r="J244" s="321">
        <v>5.5000000000000002E-5</v>
      </c>
      <c r="K244" s="567" t="s">
        <v>639</v>
      </c>
      <c r="L244" s="566" t="s">
        <v>640</v>
      </c>
      <c r="M244" s="319">
        <f>ROUND((F237*(I244*G237/3600)),7)</f>
        <v>1.9999999999999999E-7</v>
      </c>
      <c r="N244" s="319">
        <f>ROUND(((E237*(J244*H237/1000))),9)</f>
        <v>1.37E-7</v>
      </c>
      <c r="O244" s="91">
        <f>SUM(M237:M244)</f>
        <v>0.31010019999999999</v>
      </c>
      <c r="P244" s="91">
        <f>SUM(N237:N244)</f>
        <v>0.231890137</v>
      </c>
    </row>
    <row r="245" spans="1:17" s="138" customFormat="1" ht="15" customHeight="1" x14ac:dyDescent="0.2">
      <c r="A245" s="1021" t="s">
        <v>123</v>
      </c>
      <c r="B245" s="1022"/>
      <c r="C245" s="1022"/>
      <c r="D245" s="1022"/>
      <c r="E245" s="1022"/>
      <c r="F245" s="1022"/>
      <c r="G245" s="1022"/>
      <c r="H245" s="1022"/>
      <c r="I245" s="1022"/>
      <c r="J245" s="1022"/>
      <c r="K245" s="1022"/>
      <c r="L245" s="1022"/>
      <c r="M245" s="1022"/>
      <c r="N245" s="1023"/>
      <c r="O245" s="672">
        <f>SUM(O236:O244)</f>
        <v>0.49630029999999992</v>
      </c>
      <c r="P245" s="673">
        <f>SUM(P236:P244)</f>
        <v>0.37068023700000002</v>
      </c>
      <c r="Q245" s="674">
        <v>2050</v>
      </c>
    </row>
    <row r="246" spans="1:17" s="554" customFormat="1" ht="15" customHeight="1" x14ac:dyDescent="0.2">
      <c r="A246" s="572" t="s">
        <v>545</v>
      </c>
      <c r="B246" s="862" t="s">
        <v>641</v>
      </c>
      <c r="C246" s="523" t="s">
        <v>245</v>
      </c>
      <c r="D246" s="523" t="s">
        <v>188</v>
      </c>
      <c r="E246" s="523">
        <v>1</v>
      </c>
      <c r="F246" s="523">
        <v>1</v>
      </c>
      <c r="G246" s="523">
        <v>50</v>
      </c>
      <c r="H246" s="344">
        <v>1.0382</v>
      </c>
      <c r="I246" s="488">
        <v>7.2</v>
      </c>
      <c r="J246" s="488">
        <v>30</v>
      </c>
      <c r="K246" s="559" t="s">
        <v>170</v>
      </c>
      <c r="L246" s="33" t="s">
        <v>162</v>
      </c>
      <c r="M246" s="28">
        <f>ROUND((F246*(I246*G246/3600)),4)</f>
        <v>0.1</v>
      </c>
      <c r="N246" s="28">
        <f>ROUND((E246*(J246*H246/1000)),4)</f>
        <v>3.1099999999999999E-2</v>
      </c>
    </row>
    <row r="247" spans="1:17" s="91" customFormat="1" ht="15" customHeight="1" x14ac:dyDescent="0.2">
      <c r="A247" s="345"/>
      <c r="B247" s="1020"/>
      <c r="C247" s="561"/>
      <c r="D247" s="561"/>
      <c r="E247" s="561"/>
      <c r="F247" s="562"/>
      <c r="G247" s="562"/>
      <c r="H247" s="562"/>
      <c r="I247" s="562">
        <v>10.3</v>
      </c>
      <c r="J247" s="562">
        <v>43</v>
      </c>
      <c r="K247" s="563" t="s">
        <v>200</v>
      </c>
      <c r="L247" s="564" t="s">
        <v>153</v>
      </c>
      <c r="M247" s="319">
        <f>ROUND(((F246*(I247*G246/3600))*0.8),4)</f>
        <v>0.1144</v>
      </c>
      <c r="N247" s="319">
        <f>ROUND(((E246*(J247*H246/1000))*0.8),4)</f>
        <v>3.5700000000000003E-2</v>
      </c>
      <c r="Q247" s="289"/>
    </row>
    <row r="248" spans="1:17" s="91" customFormat="1" ht="15" customHeight="1" x14ac:dyDescent="0.2">
      <c r="A248" s="561"/>
      <c r="B248" s="1020"/>
      <c r="C248" s="561"/>
      <c r="D248" s="561"/>
      <c r="E248" s="561"/>
      <c r="F248" s="562"/>
      <c r="G248" s="562"/>
      <c r="H248" s="562"/>
      <c r="I248" s="562"/>
      <c r="J248" s="562"/>
      <c r="K248" s="563" t="s">
        <v>201</v>
      </c>
      <c r="L248" s="564" t="s">
        <v>202</v>
      </c>
      <c r="M248" s="319">
        <f>ROUND(((F246*(I247*G246/3600))*0.13),4)</f>
        <v>1.8599999999999998E-2</v>
      </c>
      <c r="N248" s="319">
        <f>ROUND(((E246*(J247*H246/1000))*0.13),4)</f>
        <v>5.7999999999999996E-3</v>
      </c>
    </row>
    <row r="249" spans="1:17" s="91" customFormat="1" ht="15" customHeight="1" x14ac:dyDescent="0.2">
      <c r="A249" s="561"/>
      <c r="B249" s="561"/>
      <c r="C249" s="561"/>
      <c r="D249" s="561"/>
      <c r="E249" s="561"/>
      <c r="F249" s="562"/>
      <c r="G249" s="562"/>
      <c r="H249" s="562"/>
      <c r="I249" s="321">
        <v>3.6</v>
      </c>
      <c r="J249" s="321">
        <v>15</v>
      </c>
      <c r="K249" s="565" t="s">
        <v>247</v>
      </c>
      <c r="L249" s="566">
        <v>2754</v>
      </c>
      <c r="M249" s="319">
        <f>ROUND((F246*(I249*G246/3600)),4)</f>
        <v>0.05</v>
      </c>
      <c r="N249" s="319">
        <f>ROUND(((E246*(J249*H246/1000))),4)</f>
        <v>1.5599999999999999E-2</v>
      </c>
    </row>
    <row r="250" spans="1:17" s="91" customFormat="1" ht="15" customHeight="1" x14ac:dyDescent="0.2">
      <c r="A250" s="561"/>
      <c r="B250" s="561"/>
      <c r="C250" s="561"/>
      <c r="D250" s="561"/>
      <c r="E250" s="561"/>
      <c r="F250" s="562"/>
      <c r="G250" s="562"/>
      <c r="H250" s="562"/>
      <c r="I250" s="321">
        <v>0.7</v>
      </c>
      <c r="J250" s="321">
        <v>3</v>
      </c>
      <c r="K250" s="567" t="s">
        <v>638</v>
      </c>
      <c r="L250" s="566" t="s">
        <v>208</v>
      </c>
      <c r="M250" s="319">
        <f>ROUND((F246*(I250*G246/3600)),4)</f>
        <v>9.7000000000000003E-3</v>
      </c>
      <c r="N250" s="319">
        <f>ROUND(((E246*(J250*H246/1000))),4)</f>
        <v>3.0999999999999999E-3</v>
      </c>
    </row>
    <row r="251" spans="1:17" s="91" customFormat="1" ht="15" customHeight="1" x14ac:dyDescent="0.2">
      <c r="A251" s="561"/>
      <c r="B251" s="561"/>
      <c r="C251" s="561"/>
      <c r="D251" s="561"/>
      <c r="E251" s="561"/>
      <c r="F251" s="562"/>
      <c r="G251" s="562"/>
      <c r="H251" s="562"/>
      <c r="I251" s="321">
        <v>1.1000000000000001</v>
      </c>
      <c r="J251" s="321">
        <v>4.5</v>
      </c>
      <c r="K251" s="567" t="s">
        <v>246</v>
      </c>
      <c r="L251" s="566" t="s">
        <v>204</v>
      </c>
      <c r="M251" s="319">
        <f>ROUND((F246*(I251*G246/3600)),4)</f>
        <v>1.5299999999999999E-2</v>
      </c>
      <c r="N251" s="319">
        <f>ROUND(((E246*(J251*H246/1000))),4)</f>
        <v>4.7000000000000002E-3</v>
      </c>
    </row>
    <row r="252" spans="1:17" s="91" customFormat="1" ht="15" customHeight="1" x14ac:dyDescent="0.2">
      <c r="A252" s="561"/>
      <c r="B252" s="561"/>
      <c r="C252" s="561"/>
      <c r="D252" s="561"/>
      <c r="E252" s="561"/>
      <c r="F252" s="562"/>
      <c r="G252" s="562"/>
      <c r="H252" s="562"/>
      <c r="I252" s="568">
        <v>0.15</v>
      </c>
      <c r="J252" s="568">
        <v>0.6</v>
      </c>
      <c r="K252" s="567" t="s">
        <v>248</v>
      </c>
      <c r="L252" s="566" t="s">
        <v>249</v>
      </c>
      <c r="M252" s="319">
        <f>ROUND((F246*(I252*G246/3600)),4)</f>
        <v>2.0999999999999999E-3</v>
      </c>
      <c r="N252" s="319">
        <f>ROUND(((E246*(J252*H246/1000))),5)</f>
        <v>6.2E-4</v>
      </c>
    </row>
    <row r="253" spans="1:17" s="91" customFormat="1" ht="15" customHeight="1" x14ac:dyDescent="0.2">
      <c r="A253" s="569"/>
      <c r="B253" s="569"/>
      <c r="C253" s="569"/>
      <c r="D253" s="570"/>
      <c r="E253" s="569"/>
      <c r="F253" s="571"/>
      <c r="G253" s="571"/>
      <c r="H253" s="571"/>
      <c r="I253" s="321">
        <v>1.2999999999999999E-5</v>
      </c>
      <c r="J253" s="321">
        <v>5.5000000000000002E-5</v>
      </c>
      <c r="K253" s="567" t="s">
        <v>639</v>
      </c>
      <c r="L253" s="566" t="s">
        <v>640</v>
      </c>
      <c r="M253" s="319">
        <f>ROUND((F246*(I253*G246/3600)),7)</f>
        <v>1.9999999999999999E-7</v>
      </c>
      <c r="N253" s="319">
        <f>ROUND(((E246*(J253*H246/1000))),9)</f>
        <v>5.7000000000000001E-8</v>
      </c>
      <c r="O253" s="91">
        <f>SUM(M246:M253)</f>
        <v>0.31010019999999999</v>
      </c>
      <c r="P253" s="91">
        <f>SUM(N246:N253)</f>
        <v>9.6620056999999995E-2</v>
      </c>
    </row>
    <row r="254" spans="1:17" ht="18.75" customHeight="1" x14ac:dyDescent="0.2">
      <c r="O254" s="672">
        <f>SUM(O247:O253)</f>
        <v>0.31010019999999999</v>
      </c>
      <c r="P254" s="673">
        <f>SUM(P247:P253)</f>
        <v>9.6620056999999995E-2</v>
      </c>
      <c r="Q254" s="674">
        <v>2051</v>
      </c>
    </row>
  </sheetData>
  <mergeCells count="61">
    <mergeCell ref="B178:B180"/>
    <mergeCell ref="B25:B27"/>
    <mergeCell ref="A13:J13"/>
    <mergeCell ref="A14:J14"/>
    <mergeCell ref="A15:J15"/>
    <mergeCell ref="A21:A22"/>
    <mergeCell ref="B21:B22"/>
    <mergeCell ref="C21:C22"/>
    <mergeCell ref="D21:D22"/>
    <mergeCell ref="E21:F21"/>
    <mergeCell ref="G21:G22"/>
    <mergeCell ref="H21:H22"/>
    <mergeCell ref="I21:J21"/>
    <mergeCell ref="A177:N177"/>
    <mergeCell ref="A18:N18"/>
    <mergeCell ref="L21:L22"/>
    <mergeCell ref="M21:N21"/>
    <mergeCell ref="A24:N24"/>
    <mergeCell ref="A92:N92"/>
    <mergeCell ref="A1:M1"/>
    <mergeCell ref="A12:N12"/>
    <mergeCell ref="A4:N4"/>
    <mergeCell ref="A6:J6"/>
    <mergeCell ref="A8:J8"/>
    <mergeCell ref="A10:J10"/>
    <mergeCell ref="B101:B103"/>
    <mergeCell ref="B33:B35"/>
    <mergeCell ref="A41:N41"/>
    <mergeCell ref="B42:B44"/>
    <mergeCell ref="B50:B52"/>
    <mergeCell ref="A58:N58"/>
    <mergeCell ref="B59:B61"/>
    <mergeCell ref="B67:B69"/>
    <mergeCell ref="A75:N75"/>
    <mergeCell ref="B76:B78"/>
    <mergeCell ref="B84:B86"/>
    <mergeCell ref="B93:B95"/>
    <mergeCell ref="A109:N109"/>
    <mergeCell ref="B110:B112"/>
    <mergeCell ref="B118:B120"/>
    <mergeCell ref="A126:N126"/>
    <mergeCell ref="B127:B129"/>
    <mergeCell ref="B135:B137"/>
    <mergeCell ref="A143:N143"/>
    <mergeCell ref="B144:B146"/>
    <mergeCell ref="B169:B171"/>
    <mergeCell ref="B161:B163"/>
    <mergeCell ref="B152:B154"/>
    <mergeCell ref="A160:N160"/>
    <mergeCell ref="B186:B188"/>
    <mergeCell ref="A194:N194"/>
    <mergeCell ref="B195:B197"/>
    <mergeCell ref="B203:B205"/>
    <mergeCell ref="A245:N245"/>
    <mergeCell ref="B237:B239"/>
    <mergeCell ref="B229:B231"/>
    <mergeCell ref="B246:B248"/>
    <mergeCell ref="A211:N211"/>
    <mergeCell ref="B212:B214"/>
    <mergeCell ref="B220:B222"/>
    <mergeCell ref="A228:N228"/>
  </mergeCells>
  <pageMargins left="0.31496062992125984" right="0.31496062992125984" top="0.78740157480314965" bottom="0.39370078740157483" header="0.31496062992125984" footer="0.19685039370078741"/>
  <pageSetup paperSize="9" firstPageNumber="200" orientation="landscape" useFirstPageNumber="1" horizontalDpi="1200" verticalDpi="120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T139"/>
  <sheetViews>
    <sheetView view="pageBreakPreview" topLeftCell="A59" zoomScale="85" zoomScaleNormal="100" zoomScaleSheetLayoutView="85" workbookViewId="0">
      <selection activeCell="P87" sqref="P87"/>
    </sheetView>
  </sheetViews>
  <sheetFormatPr defaultRowHeight="15" x14ac:dyDescent="0.25"/>
  <cols>
    <col min="1" max="1" width="7.28515625" style="92" customWidth="1"/>
    <col min="2" max="2" width="9.85546875" style="92" customWidth="1"/>
    <col min="3" max="3" width="14.5703125" style="92" customWidth="1"/>
    <col min="4" max="4" width="6.5703125" style="92" customWidth="1"/>
    <col min="5" max="5" width="7.42578125" style="92" customWidth="1"/>
    <col min="6" max="7" width="9" style="92" customWidth="1"/>
    <col min="8" max="8" width="5.28515625" style="92" customWidth="1"/>
    <col min="9" max="9" width="5.42578125" style="92" customWidth="1"/>
    <col min="10" max="10" width="4.5703125" style="92" customWidth="1"/>
    <col min="11" max="11" width="22.42578125" style="97" customWidth="1"/>
    <col min="12" max="12" width="7" style="92" customWidth="1"/>
    <col min="13" max="13" width="7.140625" style="92" customWidth="1"/>
    <col min="14" max="14" width="10.28515625" style="92" customWidth="1"/>
    <col min="15" max="15" width="11.7109375" style="92" customWidth="1"/>
    <col min="16" max="17" width="11.7109375" style="680" customWidth="1"/>
    <col min="18" max="18" width="11.28515625" style="680" customWidth="1"/>
    <col min="19" max="20" width="9.140625" style="680"/>
    <col min="21" max="21" width="9.140625" style="92"/>
    <col min="22" max="22" width="11.7109375" style="92" bestFit="1" customWidth="1"/>
    <col min="23" max="16384" width="9.140625" style="92"/>
  </cols>
  <sheetData>
    <row r="1" spans="1:20" ht="18.75" customHeight="1" x14ac:dyDescent="0.25">
      <c r="A1" s="735" t="s">
        <v>429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P1" s="554"/>
      <c r="Q1" s="554"/>
    </row>
    <row r="2" spans="1:20" ht="18.75" customHeight="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554"/>
      <c r="Q2" s="554"/>
    </row>
    <row r="3" spans="1:20" s="126" customFormat="1" ht="14.25" customHeight="1" x14ac:dyDescent="0.25">
      <c r="A3" s="983" t="s">
        <v>318</v>
      </c>
      <c r="B3" s="983"/>
      <c r="C3" s="983"/>
      <c r="D3" s="983"/>
      <c r="E3" s="983"/>
      <c r="F3" s="983"/>
      <c r="G3" s="983"/>
      <c r="H3" s="983"/>
      <c r="I3" s="983"/>
      <c r="J3" s="983"/>
      <c r="K3" s="983"/>
      <c r="L3" s="983"/>
      <c r="M3" s="983"/>
      <c r="N3" s="983"/>
      <c r="P3" s="656"/>
      <c r="Q3" s="656"/>
      <c r="R3" s="656"/>
      <c r="S3" s="656"/>
      <c r="T3" s="656"/>
    </row>
    <row r="4" spans="1:20" s="126" customFormat="1" ht="30" customHeight="1" x14ac:dyDescent="0.25">
      <c r="A4" s="984" t="s">
        <v>430</v>
      </c>
      <c r="B4" s="984"/>
      <c r="C4" s="984"/>
      <c r="D4" s="984"/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657"/>
      <c r="Q4" s="657"/>
      <c r="R4" s="656"/>
      <c r="S4" s="656"/>
      <c r="T4" s="656"/>
    </row>
    <row r="6" spans="1:20" ht="24.75" customHeight="1" x14ac:dyDescent="0.25">
      <c r="A6" s="736" t="s">
        <v>431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619"/>
      <c r="Q6" s="619"/>
    </row>
    <row r="8" spans="1:20" s="138" customFormat="1" ht="26.25" customHeight="1" x14ac:dyDescent="0.25">
      <c r="A8" s="736" t="s">
        <v>432</v>
      </c>
      <c r="B8" s="736"/>
      <c r="C8" s="736"/>
      <c r="D8" s="736"/>
      <c r="E8" s="736"/>
      <c r="F8" s="736"/>
      <c r="G8" s="736"/>
      <c r="H8" s="736"/>
      <c r="I8" s="736"/>
      <c r="J8" s="736"/>
      <c r="K8" s="736"/>
      <c r="L8" s="736"/>
      <c r="M8" s="736"/>
      <c r="N8" s="736"/>
      <c r="O8" s="736"/>
      <c r="P8" s="619"/>
      <c r="Q8" s="619"/>
      <c r="R8" s="554"/>
      <c r="S8" s="554"/>
      <c r="T8" s="554"/>
    </row>
    <row r="9" spans="1:20" ht="23.25" customHeight="1" x14ac:dyDescent="0.25">
      <c r="A9" s="735" t="s">
        <v>433</v>
      </c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554"/>
      <c r="Q9" s="554"/>
    </row>
    <row r="10" spans="1:20" s="139" customFormat="1" ht="15.75" x14ac:dyDescent="0.25">
      <c r="A10" s="140" t="s">
        <v>434</v>
      </c>
      <c r="K10" s="140"/>
      <c r="P10" s="554"/>
      <c r="Q10" s="554"/>
      <c r="R10" s="554"/>
      <c r="S10" s="554"/>
      <c r="T10" s="554"/>
    </row>
    <row r="11" spans="1:20" s="139" customFormat="1" ht="18.75" customHeight="1" x14ac:dyDescent="0.25">
      <c r="A11" s="818" t="s">
        <v>435</v>
      </c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619"/>
      <c r="Q11" s="619"/>
      <c r="R11" s="554"/>
      <c r="S11" s="554"/>
      <c r="T11" s="554"/>
    </row>
    <row r="12" spans="1:20" s="139" customFormat="1" ht="32.25" customHeight="1" x14ac:dyDescent="0.25">
      <c r="A12" s="818" t="s">
        <v>442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P12" s="619"/>
      <c r="Q12" s="619"/>
      <c r="R12" s="554"/>
      <c r="S12" s="554"/>
      <c r="T12" s="554"/>
    </row>
    <row r="14" spans="1:20" s="102" customFormat="1" ht="39.75" customHeight="1" x14ac:dyDescent="0.25">
      <c r="A14" s="736" t="s">
        <v>455</v>
      </c>
      <c r="B14" s="736"/>
      <c r="C14" s="736"/>
      <c r="D14" s="736"/>
      <c r="E14" s="736"/>
      <c r="F14" s="736"/>
      <c r="G14" s="736"/>
      <c r="H14" s="736"/>
      <c r="I14" s="736"/>
      <c r="J14" s="736"/>
      <c r="K14" s="736"/>
      <c r="L14" s="736"/>
      <c r="M14" s="736"/>
      <c r="N14" s="736"/>
      <c r="O14" s="736"/>
      <c r="P14" s="619"/>
      <c r="Q14" s="619"/>
      <c r="R14" s="619"/>
      <c r="S14" s="619"/>
      <c r="T14" s="619"/>
    </row>
    <row r="15" spans="1:20" s="102" customFormat="1" ht="36" customHeight="1" x14ac:dyDescent="0.25">
      <c r="A15" s="736" t="s">
        <v>438</v>
      </c>
      <c r="B15" s="736"/>
      <c r="C15" s="736"/>
      <c r="D15" s="736"/>
      <c r="E15" s="736"/>
      <c r="F15" s="736"/>
      <c r="G15" s="736"/>
      <c r="H15" s="736"/>
      <c r="I15" s="736"/>
      <c r="J15" s="736"/>
      <c r="K15" s="736"/>
      <c r="L15" s="736"/>
      <c r="M15" s="736"/>
      <c r="N15" s="736"/>
      <c r="O15" s="736"/>
      <c r="P15" s="619"/>
      <c r="Q15" s="619"/>
      <c r="R15" s="619"/>
      <c r="S15" s="619"/>
      <c r="T15" s="619"/>
    </row>
    <row r="16" spans="1:20" ht="22.5" customHeight="1" x14ac:dyDescent="0.25">
      <c r="A16" s="735" t="s">
        <v>437</v>
      </c>
      <c r="B16" s="735"/>
      <c r="C16" s="735"/>
      <c r="D16" s="735"/>
      <c r="E16" s="735"/>
      <c r="F16" s="735"/>
      <c r="G16" s="735"/>
      <c r="H16" s="735"/>
      <c r="I16" s="735"/>
      <c r="J16" s="735"/>
      <c r="K16" s="735"/>
      <c r="L16" s="735"/>
      <c r="M16" s="735"/>
      <c r="N16" s="735"/>
      <c r="O16" s="735"/>
      <c r="P16" s="554"/>
      <c r="Q16" s="554"/>
    </row>
    <row r="18" spans="1:20" s="102" customFormat="1" ht="15" customHeight="1" x14ac:dyDescent="0.25">
      <c r="A18" s="736" t="s">
        <v>440</v>
      </c>
      <c r="B18" s="736"/>
      <c r="C18" s="736"/>
      <c r="D18" s="736"/>
      <c r="E18" s="736"/>
      <c r="F18" s="736"/>
      <c r="G18" s="736"/>
      <c r="H18" s="736"/>
      <c r="I18" s="736"/>
      <c r="J18" s="736"/>
      <c r="K18" s="736"/>
      <c r="L18" s="736"/>
      <c r="M18" s="736"/>
      <c r="N18" s="736"/>
      <c r="O18" s="736"/>
      <c r="P18" s="619"/>
      <c r="Q18" s="619"/>
      <c r="R18" s="619"/>
      <c r="S18" s="619"/>
      <c r="T18" s="619"/>
    </row>
    <row r="19" spans="1:20" ht="28.5" customHeight="1" x14ac:dyDescent="0.25">
      <c r="A19" s="735" t="s">
        <v>441</v>
      </c>
      <c r="B19" s="735"/>
      <c r="C19" s="735"/>
      <c r="D19" s="735"/>
      <c r="E19" s="735"/>
      <c r="F19" s="735"/>
      <c r="G19" s="735"/>
      <c r="H19" s="735"/>
      <c r="I19" s="735"/>
      <c r="J19" s="735"/>
      <c r="K19" s="735"/>
      <c r="L19" s="735"/>
      <c r="M19" s="735"/>
      <c r="N19" s="735"/>
      <c r="O19" s="735"/>
      <c r="P19" s="554"/>
      <c r="Q19" s="554"/>
    </row>
    <row r="20" spans="1:20" s="139" customFormat="1" ht="15.75" x14ac:dyDescent="0.25">
      <c r="A20" s="140" t="s">
        <v>434</v>
      </c>
      <c r="K20" s="140"/>
      <c r="P20" s="554"/>
      <c r="Q20" s="554"/>
      <c r="R20" s="554"/>
      <c r="S20" s="554"/>
      <c r="T20" s="554"/>
    </row>
    <row r="21" spans="1:20" s="139" customFormat="1" ht="31.5" customHeight="1" x14ac:dyDescent="0.25">
      <c r="A21" s="818" t="s">
        <v>444</v>
      </c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619"/>
      <c r="Q21" s="619"/>
      <c r="R21" s="554"/>
      <c r="S21" s="554"/>
      <c r="T21" s="554"/>
    </row>
    <row r="22" spans="1:20" s="139" customFormat="1" ht="32.25" customHeight="1" x14ac:dyDescent="0.25">
      <c r="A22" s="818" t="s">
        <v>442</v>
      </c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619"/>
      <c r="Q22" s="619"/>
      <c r="R22" s="554"/>
      <c r="S22" s="554"/>
      <c r="T22" s="554"/>
    </row>
    <row r="23" spans="1:20" ht="20.25" customHeight="1" x14ac:dyDescent="0.25">
      <c r="A23" s="818" t="s">
        <v>445</v>
      </c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619"/>
      <c r="Q23" s="619"/>
    </row>
    <row r="24" spans="1:20" ht="9.75" customHeight="1" x14ac:dyDescent="0.25"/>
    <row r="25" spans="1:20" ht="22.5" customHeight="1" x14ac:dyDescent="0.25">
      <c r="A25" s="736" t="s">
        <v>446</v>
      </c>
      <c r="B25" s="736"/>
      <c r="C25" s="736"/>
      <c r="D25" s="736"/>
      <c r="E25" s="736"/>
      <c r="F25" s="736"/>
      <c r="G25" s="736"/>
      <c r="H25" s="736"/>
      <c r="I25" s="736"/>
      <c r="J25" s="736"/>
      <c r="K25" s="736"/>
      <c r="L25" s="736"/>
      <c r="M25" s="736"/>
      <c r="N25" s="736"/>
      <c r="O25" s="736"/>
      <c r="P25" s="619"/>
      <c r="Q25" s="619"/>
    </row>
    <row r="26" spans="1:20" ht="22.5" customHeight="1" x14ac:dyDescent="0.25">
      <c r="A26" s="735" t="s">
        <v>447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554"/>
      <c r="Q26" s="554"/>
    </row>
    <row r="27" spans="1:20" s="139" customFormat="1" ht="15.75" x14ac:dyDescent="0.25">
      <c r="A27" s="140" t="s">
        <v>434</v>
      </c>
      <c r="K27" s="140"/>
      <c r="P27" s="554"/>
      <c r="Q27" s="554"/>
      <c r="R27" s="554"/>
      <c r="S27" s="554"/>
      <c r="T27" s="554"/>
    </row>
    <row r="28" spans="1:20" s="139" customFormat="1" ht="21.75" customHeight="1" x14ac:dyDescent="0.25">
      <c r="A28" s="818" t="s">
        <v>450</v>
      </c>
      <c r="B28" s="818"/>
      <c r="C28" s="818"/>
      <c r="D28" s="818"/>
      <c r="E28" s="818"/>
      <c r="F28" s="818"/>
      <c r="G28" s="818"/>
      <c r="H28" s="818"/>
      <c r="I28" s="818"/>
      <c r="J28" s="818"/>
      <c r="K28" s="818"/>
      <c r="L28" s="818"/>
      <c r="M28" s="818"/>
      <c r="N28" s="818"/>
      <c r="O28" s="818"/>
      <c r="P28" s="619"/>
      <c r="Q28" s="619"/>
      <c r="R28" s="554"/>
      <c r="S28" s="554"/>
      <c r="T28" s="554"/>
    </row>
    <row r="29" spans="1:20" s="139" customFormat="1" ht="13.5" customHeight="1" x14ac:dyDescent="0.2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619"/>
      <c r="Q29" s="619"/>
      <c r="R29" s="554"/>
      <c r="S29" s="554"/>
      <c r="T29" s="554"/>
    </row>
    <row r="30" spans="1:20" s="138" customFormat="1" ht="32.25" customHeight="1" x14ac:dyDescent="0.25">
      <c r="A30" s="736" t="s">
        <v>451</v>
      </c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  <c r="O30" s="736"/>
      <c r="P30" s="619"/>
      <c r="Q30" s="619"/>
      <c r="R30" s="554"/>
      <c r="S30" s="554"/>
      <c r="T30" s="554"/>
    </row>
    <row r="31" spans="1:20" s="141" customFormat="1" ht="20.100000000000001" customHeight="1" x14ac:dyDescent="0.25">
      <c r="A31" s="736" t="s">
        <v>453</v>
      </c>
      <c r="B31" s="736"/>
      <c r="C31" s="736"/>
      <c r="D31" s="736"/>
      <c r="E31" s="736"/>
      <c r="F31" s="736"/>
      <c r="G31" s="736"/>
      <c r="H31" s="736"/>
      <c r="I31" s="736"/>
      <c r="J31" s="736"/>
      <c r="K31" s="736"/>
      <c r="L31" s="736"/>
      <c r="M31" s="736"/>
      <c r="N31" s="736"/>
      <c r="O31" s="736"/>
      <c r="P31" s="619"/>
      <c r="Q31" s="619"/>
      <c r="R31" s="680"/>
      <c r="S31" s="680"/>
      <c r="T31" s="680"/>
    </row>
    <row r="32" spans="1:20" s="141" customFormat="1" ht="9" customHeight="1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619"/>
      <c r="Q32" s="619"/>
      <c r="R32" s="680"/>
      <c r="S32" s="680"/>
      <c r="T32" s="680"/>
    </row>
    <row r="33" spans="1:20" s="141" customFormat="1" ht="20.100000000000001" customHeight="1" x14ac:dyDescent="0.25">
      <c r="A33" s="736" t="s">
        <v>452</v>
      </c>
      <c r="B33" s="736"/>
      <c r="C33" s="736"/>
      <c r="D33" s="736"/>
      <c r="E33" s="736"/>
      <c r="F33" s="736"/>
      <c r="G33" s="736"/>
      <c r="H33" s="736"/>
      <c r="I33" s="736"/>
      <c r="J33" s="736"/>
      <c r="K33" s="736"/>
      <c r="L33" s="736"/>
      <c r="M33" s="736"/>
      <c r="N33" s="736"/>
      <c r="O33" s="736"/>
      <c r="P33" s="619"/>
      <c r="Q33" s="619"/>
      <c r="R33" s="680"/>
      <c r="S33" s="680"/>
      <c r="T33" s="680"/>
    </row>
    <row r="34" spans="1:20" s="139" customFormat="1" ht="15.75" x14ac:dyDescent="0.25">
      <c r="A34" s="140" t="s">
        <v>434</v>
      </c>
      <c r="K34" s="140"/>
      <c r="P34" s="554"/>
      <c r="Q34" s="554"/>
      <c r="R34" s="554"/>
      <c r="S34" s="554"/>
      <c r="T34" s="554"/>
    </row>
    <row r="35" spans="1:20" s="139" customFormat="1" ht="21.75" customHeight="1" x14ac:dyDescent="0.25">
      <c r="A35" s="818" t="s">
        <v>454</v>
      </c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619"/>
      <c r="Q35" s="619"/>
      <c r="R35" s="554"/>
      <c r="S35" s="554"/>
      <c r="T35" s="554"/>
    </row>
    <row r="36" spans="1:20" ht="29.25" customHeight="1" x14ac:dyDescent="0.25">
      <c r="A36" s="736" t="s">
        <v>657</v>
      </c>
      <c r="B36" s="736"/>
      <c r="C36" s="736"/>
      <c r="D36" s="736"/>
      <c r="E36" s="736"/>
      <c r="F36" s="736"/>
      <c r="G36" s="736"/>
      <c r="H36" s="736"/>
      <c r="I36" s="736"/>
      <c r="J36" s="736"/>
      <c r="K36" s="736"/>
      <c r="L36" s="736"/>
      <c r="M36" s="736"/>
      <c r="N36" s="736"/>
      <c r="O36" s="736"/>
      <c r="P36" s="619"/>
      <c r="Q36" s="619"/>
    </row>
    <row r="37" spans="1:20" ht="10.5" customHeight="1" x14ac:dyDescent="0.25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619"/>
      <c r="Q37" s="619"/>
    </row>
    <row r="38" spans="1:20" ht="21" customHeight="1" x14ac:dyDescent="0.25">
      <c r="A38" s="1041" t="s">
        <v>313</v>
      </c>
      <c r="B38" s="1041"/>
      <c r="C38" s="1041"/>
      <c r="D38" s="1041"/>
      <c r="E38" s="1041"/>
      <c r="F38" s="1041"/>
      <c r="G38" s="1041"/>
      <c r="H38" s="1041"/>
      <c r="I38" s="1041"/>
      <c r="J38" s="1041"/>
      <c r="K38" s="1041"/>
      <c r="L38" s="1041"/>
      <c r="M38" s="1041"/>
      <c r="N38" s="1041"/>
      <c r="O38" s="1041"/>
      <c r="P38" s="681"/>
      <c r="Q38" s="681"/>
    </row>
    <row r="39" spans="1:20" x14ac:dyDescent="0.25">
      <c r="A39" s="1032" t="s">
        <v>314</v>
      </c>
      <c r="B39" s="1032" t="s">
        <v>252</v>
      </c>
      <c r="C39" s="1032" t="s">
        <v>253</v>
      </c>
      <c r="D39" s="1032" t="s">
        <v>254</v>
      </c>
      <c r="E39" s="1032" t="s">
        <v>255</v>
      </c>
      <c r="F39" s="1032" t="s">
        <v>256</v>
      </c>
      <c r="G39" s="1032" t="s">
        <v>257</v>
      </c>
      <c r="H39" s="1044" t="s">
        <v>613</v>
      </c>
      <c r="I39" s="1044" t="s">
        <v>614</v>
      </c>
      <c r="J39" s="1044" t="s">
        <v>258</v>
      </c>
      <c r="K39" s="1046" t="s">
        <v>48</v>
      </c>
      <c r="L39" s="1032" t="s">
        <v>13</v>
      </c>
      <c r="M39" s="1032" t="s">
        <v>615</v>
      </c>
      <c r="N39" s="1042" t="s">
        <v>259</v>
      </c>
      <c r="O39" s="1043"/>
      <c r="P39" s="682"/>
      <c r="Q39" s="682"/>
    </row>
    <row r="40" spans="1:20" ht="26.25" customHeight="1" x14ac:dyDescent="0.25">
      <c r="A40" s="1033"/>
      <c r="B40" s="1033"/>
      <c r="C40" s="1033"/>
      <c r="D40" s="1033"/>
      <c r="E40" s="1033"/>
      <c r="F40" s="1033"/>
      <c r="G40" s="1033"/>
      <c r="H40" s="1045"/>
      <c r="I40" s="1045"/>
      <c r="J40" s="1045"/>
      <c r="K40" s="1047"/>
      <c r="L40" s="1033"/>
      <c r="M40" s="1033"/>
      <c r="N40" s="74" t="s">
        <v>260</v>
      </c>
      <c r="O40" s="74" t="s">
        <v>261</v>
      </c>
      <c r="P40" s="682"/>
      <c r="Q40" s="682"/>
    </row>
    <row r="41" spans="1:20" ht="18" customHeight="1" x14ac:dyDescent="0.25">
      <c r="A41" s="93" t="s">
        <v>262</v>
      </c>
      <c r="B41" s="93" t="s">
        <v>263</v>
      </c>
      <c r="C41" s="93" t="s">
        <v>264</v>
      </c>
      <c r="D41" s="93" t="s">
        <v>265</v>
      </c>
      <c r="E41" s="93">
        <v>5</v>
      </c>
      <c r="F41" s="93">
        <v>6</v>
      </c>
      <c r="G41" s="93">
        <v>7</v>
      </c>
      <c r="H41" s="93">
        <v>8</v>
      </c>
      <c r="I41" s="93">
        <v>9</v>
      </c>
      <c r="J41" s="93">
        <v>10</v>
      </c>
      <c r="K41" s="96">
        <v>11</v>
      </c>
      <c r="L41" s="93">
        <v>12</v>
      </c>
      <c r="M41" s="93">
        <v>13</v>
      </c>
      <c r="N41" s="93">
        <v>14</v>
      </c>
      <c r="O41" s="93">
        <v>15</v>
      </c>
      <c r="P41" s="682"/>
      <c r="Q41" s="682"/>
    </row>
    <row r="42" spans="1:20" ht="18" customHeight="1" x14ac:dyDescent="0.25">
      <c r="A42" s="1038" t="s">
        <v>300</v>
      </c>
      <c r="B42" s="1039"/>
      <c r="C42" s="1039"/>
      <c r="D42" s="1039"/>
      <c r="E42" s="1039"/>
      <c r="F42" s="1039"/>
      <c r="G42" s="1039"/>
      <c r="H42" s="1039"/>
      <c r="I42" s="1039"/>
      <c r="J42" s="1039"/>
      <c r="K42" s="1039"/>
      <c r="L42" s="1039"/>
      <c r="M42" s="1039"/>
      <c r="N42" s="1039"/>
      <c r="O42" s="1040"/>
      <c r="P42" s="684"/>
      <c r="Q42" s="684"/>
    </row>
    <row r="43" spans="1:20" ht="18" customHeight="1" x14ac:dyDescent="0.25">
      <c r="A43" s="1035" t="s">
        <v>16</v>
      </c>
      <c r="B43" s="809"/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809"/>
      <c r="O43" s="810"/>
      <c r="P43" s="685"/>
      <c r="Q43" s="685"/>
      <c r="R43" s="94"/>
      <c r="S43" s="683"/>
    </row>
    <row r="44" spans="1:20" ht="18" customHeight="1" x14ac:dyDescent="0.2">
      <c r="A44" s="1036">
        <v>8029</v>
      </c>
      <c r="B44" s="1030" t="s">
        <v>266</v>
      </c>
      <c r="C44" s="339" t="s">
        <v>267</v>
      </c>
      <c r="D44" s="338">
        <v>3.6</v>
      </c>
      <c r="E44" s="338">
        <v>3.14</v>
      </c>
      <c r="F44" s="338">
        <v>115.2</v>
      </c>
      <c r="G44" s="338">
        <v>86.402000000000001</v>
      </c>
      <c r="H44" s="338">
        <v>1.6</v>
      </c>
      <c r="I44" s="338">
        <v>2.2000000000000002</v>
      </c>
      <c r="J44" s="338">
        <v>50</v>
      </c>
      <c r="K44" s="340" t="s">
        <v>268</v>
      </c>
      <c r="L44" s="338">
        <v>2754</v>
      </c>
      <c r="M44" s="338">
        <v>99.72</v>
      </c>
      <c r="N44" s="338">
        <f>ROUND(((D44*E44*2/3600)*(M44/100)),4)</f>
        <v>6.3E-3</v>
      </c>
      <c r="O44" s="338">
        <f>ROUND(((((H44*F44+I44*G44)/1000000)+(0.5*J44*(F44+G44)/1000000))*(M44/100)),5)</f>
        <v>5.4000000000000003E-3</v>
      </c>
      <c r="P44" s="686"/>
      <c r="Q44" s="686"/>
      <c r="R44" s="687">
        <v>201.602</v>
      </c>
      <c r="S44" s="687" t="s">
        <v>272</v>
      </c>
    </row>
    <row r="45" spans="1:20" ht="18" customHeight="1" x14ac:dyDescent="0.2">
      <c r="A45" s="1037"/>
      <c r="B45" s="896"/>
      <c r="C45" s="341"/>
      <c r="D45" s="328"/>
      <c r="E45" s="328"/>
      <c r="F45" s="328"/>
      <c r="G45" s="328"/>
      <c r="H45" s="328"/>
      <c r="I45" s="328"/>
      <c r="J45" s="328"/>
      <c r="K45" s="342" t="s">
        <v>269</v>
      </c>
      <c r="L45" s="328" t="s">
        <v>270</v>
      </c>
      <c r="M45" s="328" t="s">
        <v>271</v>
      </c>
      <c r="N45" s="328">
        <f>ROUND(((D44*E44*2/3600)*(M45/100)),5)</f>
        <v>2.0000000000000002E-5</v>
      </c>
      <c r="O45" s="328">
        <f>ROUND(((((H44*F44+I44*G44)/1000000)+(0.5*J44*(F44+G44)/1000000))*(M45/100)),6)</f>
        <v>1.5E-5</v>
      </c>
      <c r="P45" s="686">
        <f>SUM(N44:N45)</f>
        <v>6.3200000000000001E-3</v>
      </c>
      <c r="Q45" s="686">
        <f>SUM(O44:O45)</f>
        <v>5.4150000000000005E-3</v>
      </c>
      <c r="R45" s="94"/>
      <c r="S45" s="683"/>
    </row>
    <row r="46" spans="1:20" ht="18" customHeight="1" x14ac:dyDescent="0.2">
      <c r="A46" s="1031" t="s">
        <v>97</v>
      </c>
      <c r="B46" s="800"/>
      <c r="C46" s="800"/>
      <c r="D46" s="800"/>
      <c r="E46" s="800"/>
      <c r="F46" s="800"/>
      <c r="G46" s="800"/>
      <c r="H46" s="800"/>
      <c r="I46" s="800"/>
      <c r="J46" s="800"/>
      <c r="K46" s="800"/>
      <c r="L46" s="800"/>
      <c r="M46" s="800"/>
      <c r="N46" s="800"/>
      <c r="O46" s="801"/>
      <c r="P46" s="686"/>
      <c r="Q46" s="686"/>
      <c r="R46" s="94"/>
      <c r="S46" s="683"/>
    </row>
    <row r="47" spans="1:20" ht="18" customHeight="1" x14ac:dyDescent="0.2">
      <c r="A47" s="1030">
        <v>8029</v>
      </c>
      <c r="B47" s="1030" t="s">
        <v>266</v>
      </c>
      <c r="C47" s="339" t="s">
        <v>267</v>
      </c>
      <c r="D47" s="338">
        <v>3.6</v>
      </c>
      <c r="E47" s="338">
        <v>3.14</v>
      </c>
      <c r="F47" s="338">
        <v>216.26400000000001</v>
      </c>
      <c r="G47" s="338">
        <v>216.26400000000001</v>
      </c>
      <c r="H47" s="338">
        <v>1.6</v>
      </c>
      <c r="I47" s="338">
        <v>2.2000000000000002</v>
      </c>
      <c r="J47" s="338">
        <v>50</v>
      </c>
      <c r="K47" s="340" t="s">
        <v>268</v>
      </c>
      <c r="L47" s="338">
        <v>2754</v>
      </c>
      <c r="M47" s="338">
        <v>99.72</v>
      </c>
      <c r="N47" s="338">
        <f>ROUND(((D47*E47*2/3600)*(M47/100)),4)</f>
        <v>6.3E-3</v>
      </c>
      <c r="O47" s="338">
        <f>ROUND(((((H47*F47+I47*G47)/1000000)+(0.5*J47*(F47+G47)/1000000))*(M47/100)),5)</f>
        <v>1.1599999999999999E-2</v>
      </c>
      <c r="P47" s="688"/>
      <c r="Q47" s="686"/>
      <c r="R47" s="687">
        <v>432.52699999999999</v>
      </c>
      <c r="S47" s="687" t="s">
        <v>272</v>
      </c>
    </row>
    <row r="48" spans="1:20" ht="18" customHeight="1" x14ac:dyDescent="0.2">
      <c r="A48" s="896"/>
      <c r="B48" s="896"/>
      <c r="C48" s="341"/>
      <c r="D48" s="328"/>
      <c r="E48" s="328"/>
      <c r="F48" s="328"/>
      <c r="G48" s="328"/>
      <c r="H48" s="328"/>
      <c r="I48" s="328"/>
      <c r="J48" s="328"/>
      <c r="K48" s="342" t="s">
        <v>269</v>
      </c>
      <c r="L48" s="328" t="s">
        <v>270</v>
      </c>
      <c r="M48" s="328" t="s">
        <v>271</v>
      </c>
      <c r="N48" s="328">
        <f>ROUND(((D47*E47*2/3600)*(M48/100)),5)</f>
        <v>2.0000000000000002E-5</v>
      </c>
      <c r="O48" s="328">
        <f>ROUND(((((H47*F47+I47*G47)/1000000)+(0.5*J47*(F47+G47)/1000000))*(M48/100)),6)</f>
        <v>3.3000000000000003E-5</v>
      </c>
      <c r="P48" s="688">
        <f>SUM(N47:N48)</f>
        <v>6.3200000000000001E-3</v>
      </c>
      <c r="Q48" s="686">
        <f>SUM(O47:O48)</f>
        <v>1.1632999999999999E-2</v>
      </c>
      <c r="R48" s="94"/>
      <c r="S48" s="683"/>
    </row>
    <row r="49" spans="1:19" ht="18" customHeight="1" x14ac:dyDescent="0.25">
      <c r="A49" s="1031" t="s">
        <v>98</v>
      </c>
      <c r="B49" s="800"/>
      <c r="C49" s="800"/>
      <c r="D49" s="800"/>
      <c r="E49" s="800"/>
      <c r="F49" s="800"/>
      <c r="G49" s="800"/>
      <c r="H49" s="800"/>
      <c r="I49" s="800"/>
      <c r="J49" s="800"/>
      <c r="K49" s="800"/>
      <c r="L49" s="800"/>
      <c r="M49" s="800"/>
      <c r="N49" s="800"/>
      <c r="O49" s="801"/>
      <c r="P49" s="685"/>
      <c r="Q49" s="685"/>
      <c r="R49" s="94"/>
      <c r="S49" s="683"/>
    </row>
    <row r="50" spans="1:19" ht="18" customHeight="1" x14ac:dyDescent="0.2">
      <c r="A50" s="1030">
        <v>8029</v>
      </c>
      <c r="B50" s="1030" t="s">
        <v>266</v>
      </c>
      <c r="C50" s="339" t="s">
        <v>267</v>
      </c>
      <c r="D50" s="338">
        <v>3.6</v>
      </c>
      <c r="E50" s="338">
        <v>3.14</v>
      </c>
      <c r="F50" s="338">
        <v>32.853999999999999</v>
      </c>
      <c r="G50" s="338">
        <v>98.56</v>
      </c>
      <c r="H50" s="338">
        <v>1.6</v>
      </c>
      <c r="I50" s="338">
        <v>2.2000000000000002</v>
      </c>
      <c r="J50" s="338">
        <v>50</v>
      </c>
      <c r="K50" s="340" t="s">
        <v>268</v>
      </c>
      <c r="L50" s="338">
        <v>2754</v>
      </c>
      <c r="M50" s="338">
        <v>99.72</v>
      </c>
      <c r="N50" s="338">
        <f>ROUND(((D50*E50*2/3600)*(M50/100)),4)</f>
        <v>6.3E-3</v>
      </c>
      <c r="O50" s="338">
        <f>ROUND(((((H50*F50+I50*G50)/1000000)+(0.5*J50*(F50+G50)/1000000))*(M50/100)),5)</f>
        <v>3.5400000000000002E-3</v>
      </c>
      <c r="P50" s="686"/>
      <c r="Q50" s="686"/>
      <c r="R50" s="687">
        <v>131.41399999999999</v>
      </c>
      <c r="S50" s="687" t="s">
        <v>272</v>
      </c>
    </row>
    <row r="51" spans="1:19" ht="18" customHeight="1" x14ac:dyDescent="0.2">
      <c r="A51" s="896"/>
      <c r="B51" s="896"/>
      <c r="C51" s="341"/>
      <c r="D51" s="328"/>
      <c r="E51" s="328"/>
      <c r="F51" s="328"/>
      <c r="G51" s="328"/>
      <c r="H51" s="328"/>
      <c r="I51" s="328"/>
      <c r="J51" s="328"/>
      <c r="K51" s="342" t="s">
        <v>269</v>
      </c>
      <c r="L51" s="328" t="s">
        <v>270</v>
      </c>
      <c r="M51" s="328" t="s">
        <v>271</v>
      </c>
      <c r="N51" s="328">
        <f>ROUND(((D50*E50*2/3600)*(M51/100)),5)</f>
        <v>2.0000000000000002E-5</v>
      </c>
      <c r="O51" s="328">
        <f>ROUND(((((H50*F50+I50*G50)/1000000)+(0.5*J50*(F50+G50)/1000000))*(M51/100)),6)</f>
        <v>1.0000000000000001E-5</v>
      </c>
      <c r="P51" s="686">
        <f>SUM(N50:N51)</f>
        <v>6.3200000000000001E-3</v>
      </c>
      <c r="Q51" s="686">
        <f>SUM(O50:O51)</f>
        <v>3.5500000000000002E-3</v>
      </c>
      <c r="R51" s="94"/>
      <c r="S51" s="683"/>
    </row>
    <row r="52" spans="1:19" ht="18" customHeight="1" x14ac:dyDescent="0.25">
      <c r="A52" s="1031" t="s">
        <v>103</v>
      </c>
      <c r="B52" s="800"/>
      <c r="C52" s="800"/>
      <c r="D52" s="800"/>
      <c r="E52" s="800"/>
      <c r="F52" s="800"/>
      <c r="G52" s="800"/>
      <c r="H52" s="800"/>
      <c r="I52" s="800"/>
      <c r="J52" s="800"/>
      <c r="K52" s="800"/>
      <c r="L52" s="800"/>
      <c r="M52" s="800"/>
      <c r="N52" s="800"/>
      <c r="O52" s="801"/>
      <c r="P52" s="685"/>
      <c r="Q52" s="685"/>
      <c r="R52" s="94"/>
      <c r="S52" s="683"/>
    </row>
    <row r="53" spans="1:19" ht="18" customHeight="1" x14ac:dyDescent="0.2">
      <c r="A53" s="1030">
        <v>8029</v>
      </c>
      <c r="B53" s="1030" t="s">
        <v>266</v>
      </c>
      <c r="C53" s="339" t="s">
        <v>267</v>
      </c>
      <c r="D53" s="338">
        <v>3.6</v>
      </c>
      <c r="E53" s="338">
        <v>3.14</v>
      </c>
      <c r="F53" s="338">
        <v>44.655999999999999</v>
      </c>
      <c r="G53" s="338">
        <v>66.984999999999999</v>
      </c>
      <c r="H53" s="338">
        <v>1.6</v>
      </c>
      <c r="I53" s="338">
        <v>2.2000000000000002</v>
      </c>
      <c r="J53" s="338">
        <v>50</v>
      </c>
      <c r="K53" s="340" t="s">
        <v>268</v>
      </c>
      <c r="L53" s="338">
        <v>2754</v>
      </c>
      <c r="M53" s="338">
        <v>99.72</v>
      </c>
      <c r="N53" s="338">
        <f>ROUND(((D53*E53*2/3600)*(M53/100)),4)</f>
        <v>6.3E-3</v>
      </c>
      <c r="O53" s="338">
        <f>ROUND(((((H53*F53+I53*G53)/1000000)+(0.5*J53*(F53+G53)/1000000))*(M53/100)),5)</f>
        <v>3.0000000000000001E-3</v>
      </c>
      <c r="P53" s="688"/>
      <c r="Q53" s="688"/>
      <c r="R53" s="554">
        <v>111.64100000000001</v>
      </c>
      <c r="S53" s="554" t="s">
        <v>272</v>
      </c>
    </row>
    <row r="54" spans="1:19" ht="18" customHeight="1" x14ac:dyDescent="0.2">
      <c r="A54" s="896"/>
      <c r="B54" s="896"/>
      <c r="C54" s="341"/>
      <c r="D54" s="328"/>
      <c r="E54" s="328"/>
      <c r="F54" s="328"/>
      <c r="G54" s="328"/>
      <c r="H54" s="328"/>
      <c r="I54" s="328"/>
      <c r="J54" s="328"/>
      <c r="K54" s="342" t="s">
        <v>269</v>
      </c>
      <c r="L54" s="328" t="s">
        <v>270</v>
      </c>
      <c r="M54" s="328" t="s">
        <v>271</v>
      </c>
      <c r="N54" s="328">
        <f>ROUND(((D53*E53*2/3600)*(M54/100)),5)</f>
        <v>2.0000000000000002E-5</v>
      </c>
      <c r="O54" s="328">
        <f>ROUND(((((H53*F53+I53*G53)/1000000)+(0.5*J53*(F53+G53)/1000000))*(M54/100)),6)</f>
        <v>7.9999999999999996E-6</v>
      </c>
      <c r="P54" s="688">
        <f>SUM(N53:N54)</f>
        <v>6.3200000000000001E-3</v>
      </c>
      <c r="Q54" s="688">
        <f>SUM(O53:O54)</f>
        <v>3.0080000000000003E-3</v>
      </c>
      <c r="R54" s="343"/>
    </row>
    <row r="55" spans="1:19" ht="18" customHeight="1" x14ac:dyDescent="0.25">
      <c r="A55" s="1031" t="s">
        <v>105</v>
      </c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  <c r="N55" s="800"/>
      <c r="O55" s="801"/>
      <c r="P55" s="685"/>
      <c r="Q55" s="685"/>
      <c r="R55" s="94"/>
      <c r="S55" s="683"/>
    </row>
    <row r="56" spans="1:19" ht="18" customHeight="1" x14ac:dyDescent="0.2">
      <c r="A56" s="1030">
        <v>8029</v>
      </c>
      <c r="B56" s="1030" t="s">
        <v>266</v>
      </c>
      <c r="C56" s="339" t="s">
        <v>267</v>
      </c>
      <c r="D56" s="338">
        <v>3.6</v>
      </c>
      <c r="E56" s="338">
        <v>3.14</v>
      </c>
      <c r="F56" s="338">
        <v>38.56</v>
      </c>
      <c r="G56" s="338">
        <v>115.68</v>
      </c>
      <c r="H56" s="338">
        <v>1.6</v>
      </c>
      <c r="I56" s="338">
        <v>2.2000000000000002</v>
      </c>
      <c r="J56" s="338">
        <v>50</v>
      </c>
      <c r="K56" s="340" t="s">
        <v>268</v>
      </c>
      <c r="L56" s="338">
        <v>2754</v>
      </c>
      <c r="M56" s="338">
        <v>99.72</v>
      </c>
      <c r="N56" s="338">
        <f>ROUND(((D56*E56*2/3600)*(M56/100)),4)</f>
        <v>6.3E-3</v>
      </c>
      <c r="O56" s="338">
        <f>ROUND(((((H56*F56+I56*G56)/1000000)+(0.5*J56*(F56+G56)/1000000))*(M56/100)),5)</f>
        <v>4.1599999999999996E-3</v>
      </c>
      <c r="P56" s="688"/>
      <c r="Q56" s="688"/>
      <c r="R56" s="554">
        <v>154.24</v>
      </c>
      <c r="S56" s="554" t="s">
        <v>272</v>
      </c>
    </row>
    <row r="57" spans="1:19" ht="18" customHeight="1" x14ac:dyDescent="0.2">
      <c r="A57" s="896"/>
      <c r="B57" s="896"/>
      <c r="C57" s="341"/>
      <c r="D57" s="328"/>
      <c r="E57" s="328"/>
      <c r="F57" s="328"/>
      <c r="G57" s="328"/>
      <c r="H57" s="328"/>
      <c r="I57" s="328"/>
      <c r="J57" s="328"/>
      <c r="K57" s="342" t="s">
        <v>269</v>
      </c>
      <c r="L57" s="328" t="s">
        <v>270</v>
      </c>
      <c r="M57" s="328" t="s">
        <v>271</v>
      </c>
      <c r="N57" s="328">
        <f>ROUND(((D56*E56*2/3600)*(M57/100)),5)</f>
        <v>2.0000000000000002E-5</v>
      </c>
      <c r="O57" s="328">
        <f>ROUND(((((H56*F56+I56*G56)/1000000)+(0.5*J56*(F56+G56)/1000000))*(M57/100)),6)</f>
        <v>1.2E-5</v>
      </c>
      <c r="P57" s="688">
        <f>SUM(N56:N57)</f>
        <v>6.3200000000000001E-3</v>
      </c>
      <c r="Q57" s="688">
        <f>SUM(O56:O57)</f>
        <v>4.1719999999999995E-3</v>
      </c>
      <c r="R57" s="343"/>
    </row>
    <row r="58" spans="1:19" ht="18" customHeight="1" x14ac:dyDescent="0.25">
      <c r="A58" s="1031" t="s">
        <v>109</v>
      </c>
      <c r="B58" s="800"/>
      <c r="C58" s="800"/>
      <c r="D58" s="800"/>
      <c r="E58" s="800"/>
      <c r="F58" s="800"/>
      <c r="G58" s="800"/>
      <c r="H58" s="800"/>
      <c r="I58" s="800"/>
      <c r="J58" s="800"/>
      <c r="K58" s="800"/>
      <c r="L58" s="800"/>
      <c r="M58" s="800"/>
      <c r="N58" s="800"/>
      <c r="O58" s="801"/>
      <c r="P58" s="685"/>
      <c r="Q58" s="685"/>
      <c r="R58" s="94"/>
      <c r="S58" s="683"/>
    </row>
    <row r="59" spans="1:19" ht="18" customHeight="1" x14ac:dyDescent="0.2">
      <c r="A59" s="1030">
        <v>8029</v>
      </c>
      <c r="B59" s="1030" t="s">
        <v>266</v>
      </c>
      <c r="C59" s="339" t="s">
        <v>267</v>
      </c>
      <c r="D59" s="338">
        <v>3.6</v>
      </c>
      <c r="E59" s="338">
        <v>3.14</v>
      </c>
      <c r="F59" s="338">
        <v>35.527999999999999</v>
      </c>
      <c r="G59" s="338">
        <v>53.290999999999997</v>
      </c>
      <c r="H59" s="338">
        <v>1.6</v>
      </c>
      <c r="I59" s="338">
        <v>2.2000000000000002</v>
      </c>
      <c r="J59" s="338">
        <v>50</v>
      </c>
      <c r="K59" s="340" t="s">
        <v>268</v>
      </c>
      <c r="L59" s="338">
        <v>2754</v>
      </c>
      <c r="M59" s="338">
        <v>99.72</v>
      </c>
      <c r="N59" s="338">
        <f>ROUND(((D59*E59*2/3600)*(M59/100)),4)</f>
        <v>6.3E-3</v>
      </c>
      <c r="O59" s="338">
        <f>ROUND(((((H59*F59+I59*G59)/1000000)+(0.5*J59*(F59+G59)/1000000))*(M59/100)),5)</f>
        <v>2.3900000000000002E-3</v>
      </c>
      <c r="P59" s="688"/>
      <c r="Q59" s="688"/>
      <c r="R59" s="554">
        <v>88.819000000000003</v>
      </c>
      <c r="S59" s="554" t="s">
        <v>272</v>
      </c>
    </row>
    <row r="60" spans="1:19" ht="18" customHeight="1" x14ac:dyDescent="0.2">
      <c r="A60" s="896"/>
      <c r="B60" s="896"/>
      <c r="C60" s="341"/>
      <c r="D60" s="328"/>
      <c r="E60" s="328"/>
      <c r="F60" s="328"/>
      <c r="G60" s="328"/>
      <c r="H60" s="328"/>
      <c r="I60" s="328"/>
      <c r="J60" s="328"/>
      <c r="K60" s="342" t="s">
        <v>269</v>
      </c>
      <c r="L60" s="328" t="s">
        <v>270</v>
      </c>
      <c r="M60" s="328" t="s">
        <v>271</v>
      </c>
      <c r="N60" s="328">
        <f>ROUND(((D59*E59*2/3600)*(M60/100)),5)</f>
        <v>2.0000000000000002E-5</v>
      </c>
      <c r="O60" s="328">
        <f>ROUND(((((H59*F59+I59*G59)/1000000)+(0.5*J59*(F59+G59)/1000000))*(M60/100)),6)</f>
        <v>6.9999999999999999E-6</v>
      </c>
      <c r="P60" s="688">
        <f>SUM(N59:N60)</f>
        <v>6.3200000000000001E-3</v>
      </c>
      <c r="Q60" s="688">
        <f>SUM(O59:O60)</f>
        <v>2.3970000000000003E-3</v>
      </c>
      <c r="R60" s="343"/>
    </row>
    <row r="61" spans="1:19" ht="18" customHeight="1" x14ac:dyDescent="0.25">
      <c r="A61" s="1031" t="s">
        <v>111</v>
      </c>
      <c r="B61" s="800"/>
      <c r="C61" s="800"/>
      <c r="D61" s="800"/>
      <c r="E61" s="800"/>
      <c r="F61" s="800"/>
      <c r="G61" s="800"/>
      <c r="H61" s="800"/>
      <c r="I61" s="800"/>
      <c r="J61" s="800"/>
      <c r="K61" s="800"/>
      <c r="L61" s="800"/>
      <c r="M61" s="800"/>
      <c r="N61" s="800"/>
      <c r="O61" s="801"/>
      <c r="P61" s="685"/>
      <c r="Q61" s="685"/>
      <c r="R61" s="94"/>
      <c r="S61" s="683"/>
    </row>
    <row r="62" spans="1:19" ht="18" customHeight="1" x14ac:dyDescent="0.2">
      <c r="A62" s="1030">
        <v>8029</v>
      </c>
      <c r="B62" s="1030" t="s">
        <v>266</v>
      </c>
      <c r="C62" s="339" t="s">
        <v>267</v>
      </c>
      <c r="D62" s="338">
        <v>3.6</v>
      </c>
      <c r="E62" s="338">
        <v>3.14</v>
      </c>
      <c r="F62" s="338">
        <v>90.295000000000002</v>
      </c>
      <c r="G62" s="338">
        <v>135.44200000000001</v>
      </c>
      <c r="H62" s="338">
        <v>1.6</v>
      </c>
      <c r="I62" s="338">
        <v>2.2000000000000002</v>
      </c>
      <c r="J62" s="338">
        <v>50</v>
      </c>
      <c r="K62" s="340" t="s">
        <v>268</v>
      </c>
      <c r="L62" s="338">
        <v>2754</v>
      </c>
      <c r="M62" s="338">
        <v>99.72</v>
      </c>
      <c r="N62" s="338">
        <f>ROUND(((D62*E62*2/3600)*(M62/100)),4)</f>
        <v>6.3E-3</v>
      </c>
      <c r="O62" s="338">
        <f>ROUND(((((H62*F62+I62*G62)/1000000)+(0.5*J62*(F62+G62)/1000000))*(M62/100)),5)</f>
        <v>6.0699999999999999E-3</v>
      </c>
      <c r="P62" s="688"/>
      <c r="Q62" s="688"/>
      <c r="R62" s="554">
        <v>225.73699999999999</v>
      </c>
      <c r="S62" s="554" t="s">
        <v>272</v>
      </c>
    </row>
    <row r="63" spans="1:19" ht="18" customHeight="1" x14ac:dyDescent="0.2">
      <c r="A63" s="896"/>
      <c r="B63" s="896"/>
      <c r="C63" s="341"/>
      <c r="D63" s="328"/>
      <c r="E63" s="328"/>
      <c r="F63" s="328"/>
      <c r="G63" s="328"/>
      <c r="H63" s="328"/>
      <c r="I63" s="328"/>
      <c r="J63" s="328"/>
      <c r="K63" s="342" t="s">
        <v>269</v>
      </c>
      <c r="L63" s="328" t="s">
        <v>270</v>
      </c>
      <c r="M63" s="328" t="s">
        <v>271</v>
      </c>
      <c r="N63" s="328">
        <f>ROUND(((D62*E62*2/3600)*(M63/100)),5)</f>
        <v>2.0000000000000002E-5</v>
      </c>
      <c r="O63" s="328">
        <f>ROUND(((((H62*F62+I62*G62)/1000000)+(0.5*J62*(F62+G62)/1000000))*(M63/100)),6)</f>
        <v>1.7E-5</v>
      </c>
      <c r="P63" s="688">
        <f>SUM(N62:N63)</f>
        <v>6.3200000000000001E-3</v>
      </c>
      <c r="Q63" s="688">
        <f>SUM(O62:O63)</f>
        <v>6.0869999999999995E-3</v>
      </c>
      <c r="R63" s="343"/>
    </row>
    <row r="64" spans="1:19" ht="18" customHeight="1" x14ac:dyDescent="0.25">
      <c r="A64" s="1031" t="s">
        <v>112</v>
      </c>
      <c r="B64" s="800"/>
      <c r="C64" s="800"/>
      <c r="D64" s="800"/>
      <c r="E64" s="800"/>
      <c r="F64" s="800"/>
      <c r="G64" s="800"/>
      <c r="H64" s="800"/>
      <c r="I64" s="800"/>
      <c r="J64" s="800"/>
      <c r="K64" s="800"/>
      <c r="L64" s="800"/>
      <c r="M64" s="800"/>
      <c r="N64" s="800"/>
      <c r="O64" s="801"/>
      <c r="P64" s="689"/>
      <c r="Q64" s="689"/>
      <c r="R64" s="94"/>
      <c r="S64" s="683"/>
    </row>
    <row r="65" spans="1:19" ht="18" customHeight="1" x14ac:dyDescent="0.2">
      <c r="A65" s="1030">
        <v>8029</v>
      </c>
      <c r="B65" s="1030" t="s">
        <v>266</v>
      </c>
      <c r="C65" s="339" t="s">
        <v>267</v>
      </c>
      <c r="D65" s="338">
        <v>3.6</v>
      </c>
      <c r="E65" s="338">
        <v>3.14</v>
      </c>
      <c r="F65" s="338">
        <v>52.265000000000001</v>
      </c>
      <c r="G65" s="338">
        <v>52.265000000000001</v>
      </c>
      <c r="H65" s="338">
        <v>1.6</v>
      </c>
      <c r="I65" s="338">
        <v>2.2000000000000002</v>
      </c>
      <c r="J65" s="338">
        <v>50</v>
      </c>
      <c r="K65" s="340" t="s">
        <v>268</v>
      </c>
      <c r="L65" s="338">
        <v>2754</v>
      </c>
      <c r="M65" s="338">
        <v>99.72</v>
      </c>
      <c r="N65" s="338">
        <f>ROUND(((D65*E65*2/3600)*(M65/100)),4)</f>
        <v>6.3E-3</v>
      </c>
      <c r="O65" s="338">
        <f>ROUND(((((H65*F65+I65*G65)/1000000)+(0.5*J65*(F65+G65)/1000000))*(M65/100)),5)</f>
        <v>2.8E-3</v>
      </c>
      <c r="P65" s="688"/>
      <c r="Q65" s="688"/>
      <c r="R65" s="554">
        <v>104.53</v>
      </c>
      <c r="S65" s="554" t="s">
        <v>272</v>
      </c>
    </row>
    <row r="66" spans="1:19" ht="18" customHeight="1" x14ac:dyDescent="0.2">
      <c r="A66" s="896"/>
      <c r="B66" s="896"/>
      <c r="C66" s="341"/>
      <c r="D66" s="328"/>
      <c r="E66" s="328"/>
      <c r="F66" s="328"/>
      <c r="G66" s="328"/>
      <c r="H66" s="328"/>
      <c r="I66" s="328"/>
      <c r="J66" s="328"/>
      <c r="K66" s="342" t="s">
        <v>269</v>
      </c>
      <c r="L66" s="328" t="s">
        <v>270</v>
      </c>
      <c r="M66" s="328" t="s">
        <v>271</v>
      </c>
      <c r="N66" s="328">
        <f>ROUND(((D65*E65*2/3600)*(M66/100)),5)</f>
        <v>2.0000000000000002E-5</v>
      </c>
      <c r="O66" s="328">
        <f>ROUND(((((H65*F65+I65*G65)/1000000)+(0.5*J65*(F65+G65)/1000000))*(M66/100)),6)</f>
        <v>7.9999999999999996E-6</v>
      </c>
      <c r="P66" s="688">
        <f>SUM(N65:N66)</f>
        <v>6.3200000000000001E-3</v>
      </c>
      <c r="Q66" s="688">
        <f>SUM(O65:O66)</f>
        <v>2.8080000000000002E-3</v>
      </c>
      <c r="R66" s="343"/>
    </row>
    <row r="67" spans="1:19" ht="18" customHeight="1" x14ac:dyDescent="0.25">
      <c r="A67" s="1031" t="s">
        <v>114</v>
      </c>
      <c r="B67" s="800"/>
      <c r="C67" s="800"/>
      <c r="D67" s="800"/>
      <c r="E67" s="800"/>
      <c r="F67" s="800"/>
      <c r="G67" s="800"/>
      <c r="H67" s="800"/>
      <c r="I67" s="800"/>
      <c r="J67" s="800"/>
      <c r="K67" s="800"/>
      <c r="L67" s="800"/>
      <c r="M67" s="800"/>
      <c r="N67" s="800"/>
      <c r="O67" s="801"/>
      <c r="P67" s="689"/>
      <c r="Q67" s="689"/>
      <c r="R67" s="94"/>
      <c r="S67" s="683"/>
    </row>
    <row r="68" spans="1:19" ht="18" customHeight="1" x14ac:dyDescent="0.2">
      <c r="A68" s="1030">
        <v>8029</v>
      </c>
      <c r="B68" s="1030" t="s">
        <v>266</v>
      </c>
      <c r="C68" s="339" t="s">
        <v>267</v>
      </c>
      <c r="D68" s="338">
        <v>3.6</v>
      </c>
      <c r="E68" s="338">
        <v>3.14</v>
      </c>
      <c r="F68" s="338">
        <v>113.255</v>
      </c>
      <c r="G68" s="338">
        <v>113.255</v>
      </c>
      <c r="H68" s="338">
        <v>1.6</v>
      </c>
      <c r="I68" s="338">
        <v>2.2000000000000002</v>
      </c>
      <c r="J68" s="338">
        <v>50</v>
      </c>
      <c r="K68" s="340" t="s">
        <v>268</v>
      </c>
      <c r="L68" s="338">
        <v>2754</v>
      </c>
      <c r="M68" s="338">
        <v>99.72</v>
      </c>
      <c r="N68" s="338">
        <f>ROUND(((D68*E68*2/3600)*(M68/100)),4)</f>
        <v>6.3E-3</v>
      </c>
      <c r="O68" s="338">
        <f>ROUND(((((H68*F68+I68*G68)/1000000)+(0.5*J68*(F68+G68)/1000000))*(M68/100)),5)</f>
        <v>6.0800000000000003E-3</v>
      </c>
      <c r="P68" s="688"/>
      <c r="Q68" s="688"/>
      <c r="R68" s="554">
        <v>226.51</v>
      </c>
      <c r="S68" s="554" t="s">
        <v>272</v>
      </c>
    </row>
    <row r="69" spans="1:19" ht="18" customHeight="1" x14ac:dyDescent="0.2">
      <c r="A69" s="896"/>
      <c r="B69" s="896"/>
      <c r="C69" s="341"/>
      <c r="D69" s="328"/>
      <c r="E69" s="328"/>
      <c r="F69" s="328"/>
      <c r="G69" s="328"/>
      <c r="H69" s="328"/>
      <c r="I69" s="328"/>
      <c r="J69" s="328"/>
      <c r="K69" s="342" t="s">
        <v>269</v>
      </c>
      <c r="L69" s="328" t="s">
        <v>270</v>
      </c>
      <c r="M69" s="328" t="s">
        <v>271</v>
      </c>
      <c r="N69" s="328">
        <f>ROUND(((D68*E68*2/3600)*(M69/100)),5)</f>
        <v>2.0000000000000002E-5</v>
      </c>
      <c r="O69" s="328">
        <f>ROUND(((((H68*F68+I68*G68)/1000000)+(0.5*J68*(F68+G68)/1000000))*(M69/100)),6)</f>
        <v>1.7E-5</v>
      </c>
      <c r="P69" s="688">
        <f>SUM(N68:N69)</f>
        <v>6.3200000000000001E-3</v>
      </c>
      <c r="Q69" s="688">
        <f>SUM(O68:O69)</f>
        <v>6.097E-3</v>
      </c>
      <c r="R69" s="343"/>
    </row>
    <row r="70" spans="1:19" ht="18" customHeight="1" x14ac:dyDescent="0.25">
      <c r="A70" s="1031" t="s">
        <v>115</v>
      </c>
      <c r="B70" s="800"/>
      <c r="C70" s="800"/>
      <c r="D70" s="800"/>
      <c r="E70" s="800"/>
      <c r="F70" s="800"/>
      <c r="G70" s="800"/>
      <c r="H70" s="800"/>
      <c r="I70" s="800"/>
      <c r="J70" s="800"/>
      <c r="K70" s="800"/>
      <c r="L70" s="800"/>
      <c r="M70" s="800"/>
      <c r="N70" s="800"/>
      <c r="O70" s="801"/>
      <c r="P70" s="689"/>
      <c r="Q70" s="689"/>
      <c r="R70" s="94"/>
      <c r="S70" s="683"/>
    </row>
    <row r="71" spans="1:19" ht="18" customHeight="1" x14ac:dyDescent="0.2">
      <c r="A71" s="1034">
        <v>8029</v>
      </c>
      <c r="B71" s="1030" t="s">
        <v>266</v>
      </c>
      <c r="C71" s="339" t="s">
        <v>267</v>
      </c>
      <c r="D71" s="338">
        <v>3.6</v>
      </c>
      <c r="E71" s="338">
        <v>3.14</v>
      </c>
      <c r="F71" s="338">
        <v>65.623999999999995</v>
      </c>
      <c r="G71" s="338">
        <v>131.249</v>
      </c>
      <c r="H71" s="338">
        <v>1.6</v>
      </c>
      <c r="I71" s="338">
        <v>2.2000000000000002</v>
      </c>
      <c r="J71" s="338">
        <v>50</v>
      </c>
      <c r="K71" s="340" t="s">
        <v>268</v>
      </c>
      <c r="L71" s="338">
        <v>2754</v>
      </c>
      <c r="M71" s="338">
        <v>99.72</v>
      </c>
      <c r="N71" s="338">
        <f>ROUND(((D71*E71*2/3600)*(M71/100)),4)</f>
        <v>6.3E-3</v>
      </c>
      <c r="O71" s="338">
        <f>ROUND(((((H71*F71+I71*G71)/1000000)+(0.5*J71*(F71+G71)/1000000))*(M71/100)),5)</f>
        <v>5.3E-3</v>
      </c>
      <c r="P71" s="688"/>
      <c r="Q71" s="688"/>
      <c r="R71" s="554">
        <v>196.87299999999999</v>
      </c>
      <c r="S71" s="554" t="s">
        <v>272</v>
      </c>
    </row>
    <row r="72" spans="1:19" ht="18" customHeight="1" x14ac:dyDescent="0.2">
      <c r="A72" s="804"/>
      <c r="B72" s="896"/>
      <c r="C72" s="341"/>
      <c r="D72" s="328"/>
      <c r="E72" s="328"/>
      <c r="F72" s="328"/>
      <c r="G72" s="328"/>
      <c r="H72" s="328"/>
      <c r="I72" s="328"/>
      <c r="J72" s="328"/>
      <c r="K72" s="342" t="s">
        <v>269</v>
      </c>
      <c r="L72" s="328" t="s">
        <v>270</v>
      </c>
      <c r="M72" s="328" t="s">
        <v>271</v>
      </c>
      <c r="N72" s="328">
        <f>ROUND(((D71*E71*2/3600)*(M72/100)),5)</f>
        <v>2.0000000000000002E-5</v>
      </c>
      <c r="O72" s="328">
        <f>ROUND(((((H71*F71+I71*G71)/1000000)+(0.5*J71*(F71+G71)/1000000))*(M72/100)),6)</f>
        <v>1.5E-5</v>
      </c>
      <c r="P72" s="688">
        <f>SUM(N71:N72)</f>
        <v>6.3200000000000001E-3</v>
      </c>
      <c r="Q72" s="688">
        <f>SUM(O71:O72)</f>
        <v>5.3150000000000003E-3</v>
      </c>
      <c r="R72" s="343"/>
      <c r="S72" s="683"/>
    </row>
    <row r="73" spans="1:19" ht="18" customHeight="1" x14ac:dyDescent="0.25">
      <c r="A73" s="1031" t="s">
        <v>119</v>
      </c>
      <c r="B73" s="800"/>
      <c r="C73" s="800"/>
      <c r="D73" s="800"/>
      <c r="E73" s="800"/>
      <c r="F73" s="800"/>
      <c r="G73" s="800"/>
      <c r="H73" s="800"/>
      <c r="I73" s="800"/>
      <c r="J73" s="800"/>
      <c r="K73" s="800"/>
      <c r="L73" s="800"/>
      <c r="M73" s="800"/>
      <c r="N73" s="800"/>
      <c r="O73" s="801"/>
      <c r="P73" s="689"/>
      <c r="Q73" s="689"/>
      <c r="R73" s="94"/>
      <c r="S73" s="683"/>
    </row>
    <row r="74" spans="1:19" ht="18" customHeight="1" x14ac:dyDescent="0.2">
      <c r="A74" s="1030">
        <v>8029</v>
      </c>
      <c r="B74" s="1030" t="s">
        <v>266</v>
      </c>
      <c r="C74" s="339" t="s">
        <v>267</v>
      </c>
      <c r="D74" s="338">
        <v>3.6</v>
      </c>
      <c r="E74" s="338">
        <v>3.14</v>
      </c>
      <c r="F74" s="338">
        <v>49.308</v>
      </c>
      <c r="G74" s="338">
        <v>36.981000000000002</v>
      </c>
      <c r="H74" s="338">
        <v>1.6</v>
      </c>
      <c r="I74" s="338">
        <v>2.2000000000000002</v>
      </c>
      <c r="J74" s="338">
        <v>50</v>
      </c>
      <c r="K74" s="340" t="s">
        <v>268</v>
      </c>
      <c r="L74" s="338">
        <v>2754</v>
      </c>
      <c r="M74" s="338">
        <v>99.72</v>
      </c>
      <c r="N74" s="338">
        <f>ROUND(((D74*E74*2/3600)*(M74/100)),4)</f>
        <v>6.3E-3</v>
      </c>
      <c r="O74" s="338">
        <f>ROUND(((((H74*F74+I74*G74)/1000000)+(0.5*J74*(F74+G74)/1000000))*(M74/100)),5)</f>
        <v>2.31E-3</v>
      </c>
      <c r="P74" s="688"/>
      <c r="Q74" s="688"/>
      <c r="R74" s="554">
        <v>86.289000000000001</v>
      </c>
      <c r="S74" s="554" t="s">
        <v>272</v>
      </c>
    </row>
    <row r="75" spans="1:19" ht="18" customHeight="1" x14ac:dyDescent="0.2">
      <c r="A75" s="896"/>
      <c r="B75" s="896"/>
      <c r="C75" s="341"/>
      <c r="D75" s="328"/>
      <c r="E75" s="328"/>
      <c r="F75" s="328"/>
      <c r="G75" s="328"/>
      <c r="H75" s="328"/>
      <c r="I75" s="328"/>
      <c r="J75" s="328"/>
      <c r="K75" s="342" t="s">
        <v>269</v>
      </c>
      <c r="L75" s="328" t="s">
        <v>270</v>
      </c>
      <c r="M75" s="328" t="s">
        <v>271</v>
      </c>
      <c r="N75" s="328">
        <f>ROUND(((D74*E74*2/3600)*(M75/100)),5)</f>
        <v>2.0000000000000002E-5</v>
      </c>
      <c r="O75" s="328">
        <f>ROUND(((((H74*F74+I74*G74)/1000000)+(0.5*J74*(F74+G74)/1000000))*(M75/100)),6)</f>
        <v>6.0000000000000002E-6</v>
      </c>
      <c r="P75" s="688">
        <f>SUM(N74:N75)</f>
        <v>6.3200000000000001E-3</v>
      </c>
      <c r="Q75" s="688">
        <f>SUM(O74:O75)</f>
        <v>2.3159999999999999E-3</v>
      </c>
      <c r="R75" s="343"/>
    </row>
    <row r="76" spans="1:19" ht="18" customHeight="1" x14ac:dyDescent="0.25">
      <c r="A76" s="1031" t="s">
        <v>121</v>
      </c>
      <c r="B76" s="800"/>
      <c r="C76" s="800"/>
      <c r="D76" s="800"/>
      <c r="E76" s="800"/>
      <c r="F76" s="800"/>
      <c r="G76" s="800"/>
      <c r="H76" s="800"/>
      <c r="I76" s="800"/>
      <c r="J76" s="800"/>
      <c r="K76" s="800"/>
      <c r="L76" s="800"/>
      <c r="M76" s="800"/>
      <c r="N76" s="800"/>
      <c r="O76" s="801"/>
      <c r="P76" s="689"/>
      <c r="Q76" s="689"/>
      <c r="R76" s="94"/>
      <c r="S76" s="683"/>
    </row>
    <row r="77" spans="1:19" ht="18" customHeight="1" x14ac:dyDescent="0.2">
      <c r="A77" s="1030">
        <v>8029</v>
      </c>
      <c r="B77" s="1030" t="s">
        <v>266</v>
      </c>
      <c r="C77" s="339" t="s">
        <v>267</v>
      </c>
      <c r="D77" s="338">
        <v>3.6</v>
      </c>
      <c r="E77" s="338">
        <v>3.14</v>
      </c>
      <c r="F77" s="338">
        <v>152.3295</v>
      </c>
      <c r="G77" s="338">
        <v>152.3295</v>
      </c>
      <c r="H77" s="338">
        <v>1.6</v>
      </c>
      <c r="I77" s="338">
        <v>2.2000000000000002</v>
      </c>
      <c r="J77" s="338">
        <v>50</v>
      </c>
      <c r="K77" s="340" t="s">
        <v>268</v>
      </c>
      <c r="L77" s="338">
        <v>2754</v>
      </c>
      <c r="M77" s="338">
        <v>99.72</v>
      </c>
      <c r="N77" s="338">
        <f>ROUND(((D77*E77*2/3600)*(M77/100)),4)</f>
        <v>6.3E-3</v>
      </c>
      <c r="O77" s="338">
        <f>ROUND(((((H77*F77+I77*G77)/1000000)+(0.5*J77*(F77+G77)/1000000))*(M77/100)),5)</f>
        <v>8.1700000000000002E-3</v>
      </c>
      <c r="P77" s="688"/>
      <c r="Q77" s="688"/>
      <c r="R77" s="554">
        <v>304.65899999999999</v>
      </c>
      <c r="S77" s="554" t="s">
        <v>272</v>
      </c>
    </row>
    <row r="78" spans="1:19" ht="18" customHeight="1" x14ac:dyDescent="0.2">
      <c r="A78" s="896"/>
      <c r="B78" s="896"/>
      <c r="C78" s="341"/>
      <c r="D78" s="328"/>
      <c r="E78" s="328"/>
      <c r="F78" s="328"/>
      <c r="G78" s="328"/>
      <c r="H78" s="328"/>
      <c r="I78" s="328"/>
      <c r="J78" s="328"/>
      <c r="K78" s="342" t="s">
        <v>269</v>
      </c>
      <c r="L78" s="328" t="s">
        <v>270</v>
      </c>
      <c r="M78" s="328" t="s">
        <v>271</v>
      </c>
      <c r="N78" s="328">
        <f>ROUND(((D77*E77*2/3600)*(M78/100)),5)</f>
        <v>2.0000000000000002E-5</v>
      </c>
      <c r="O78" s="328">
        <f>ROUND(((((H77*F77+I77*G77)/1000000)+(0.5*J77*(F77+G77)/1000000))*(M78/100)),6)</f>
        <v>2.3E-5</v>
      </c>
      <c r="P78" s="688">
        <f>SUM(N77:N78)</f>
        <v>6.3200000000000001E-3</v>
      </c>
      <c r="Q78" s="688">
        <f>SUM(O77:O78)</f>
        <v>8.1930000000000006E-3</v>
      </c>
      <c r="R78" s="343"/>
    </row>
    <row r="79" spans="1:19" ht="18" customHeight="1" x14ac:dyDescent="0.25">
      <c r="A79" s="1031" t="s">
        <v>122</v>
      </c>
      <c r="B79" s="800"/>
      <c r="C79" s="800"/>
      <c r="D79" s="800"/>
      <c r="E79" s="800"/>
      <c r="F79" s="800"/>
      <c r="G79" s="800"/>
      <c r="H79" s="800"/>
      <c r="I79" s="800"/>
      <c r="J79" s="800"/>
      <c r="K79" s="800"/>
      <c r="L79" s="800"/>
      <c r="M79" s="800"/>
      <c r="N79" s="800"/>
      <c r="O79" s="801"/>
      <c r="P79" s="689"/>
      <c r="Q79" s="689"/>
      <c r="R79" s="94"/>
      <c r="S79" s="683"/>
    </row>
    <row r="80" spans="1:19" ht="18" customHeight="1" x14ac:dyDescent="0.2">
      <c r="A80" s="1030">
        <v>8029</v>
      </c>
      <c r="B80" s="1030" t="s">
        <v>266</v>
      </c>
      <c r="C80" s="339" t="s">
        <v>267</v>
      </c>
      <c r="D80" s="338">
        <v>3.6</v>
      </c>
      <c r="E80" s="338">
        <v>3.14</v>
      </c>
      <c r="F80" s="338">
        <v>65.037999999999997</v>
      </c>
      <c r="G80" s="338">
        <v>65.037999999999997</v>
      </c>
      <c r="H80" s="338">
        <v>1.6</v>
      </c>
      <c r="I80" s="338">
        <v>2.2000000000000002</v>
      </c>
      <c r="J80" s="338">
        <v>50</v>
      </c>
      <c r="K80" s="340" t="s">
        <v>268</v>
      </c>
      <c r="L80" s="338">
        <v>2754</v>
      </c>
      <c r="M80" s="338">
        <v>99.72</v>
      </c>
      <c r="N80" s="338">
        <f>ROUND(((D80*E80*2/3600)*(M80/100)),4)</f>
        <v>6.3E-3</v>
      </c>
      <c r="O80" s="338">
        <f>ROUND(((((H80*F80+I80*G80)/1000000)+(0.5*J80*(F80+G80)/1000000))*(M80/100)),5)</f>
        <v>3.49E-3</v>
      </c>
      <c r="P80" s="688"/>
      <c r="Q80" s="688"/>
      <c r="R80" s="554">
        <v>130.07599999999999</v>
      </c>
      <c r="S80" s="554" t="s">
        <v>272</v>
      </c>
    </row>
    <row r="81" spans="1:19" ht="18" customHeight="1" x14ac:dyDescent="0.2">
      <c r="A81" s="896"/>
      <c r="B81" s="896"/>
      <c r="C81" s="341"/>
      <c r="D81" s="328"/>
      <c r="E81" s="328"/>
      <c r="F81" s="328"/>
      <c r="G81" s="328"/>
      <c r="H81" s="328"/>
      <c r="I81" s="328"/>
      <c r="J81" s="328"/>
      <c r="K81" s="342" t="s">
        <v>269</v>
      </c>
      <c r="L81" s="328" t="s">
        <v>270</v>
      </c>
      <c r="M81" s="328" t="s">
        <v>271</v>
      </c>
      <c r="N81" s="328">
        <f>ROUND(((D80*E80*2/3600)*(M81/100)),5)</f>
        <v>2.0000000000000002E-5</v>
      </c>
      <c r="O81" s="328">
        <f>ROUND(((((H80*F80+I80*G80)/1000000)+(0.5*J80*(F80+G80)/1000000))*(M81/100)),6)</f>
        <v>1.0000000000000001E-5</v>
      </c>
      <c r="P81" s="688">
        <f>SUM(N80:N81)</f>
        <v>6.3200000000000001E-3</v>
      </c>
      <c r="Q81" s="688">
        <f>SUM(O80:O81)</f>
        <v>3.5000000000000001E-3</v>
      </c>
      <c r="R81" s="343"/>
    </row>
    <row r="82" spans="1:19" ht="18" customHeight="1" x14ac:dyDescent="0.25">
      <c r="A82" s="1031" t="s">
        <v>123</v>
      </c>
      <c r="B82" s="800"/>
      <c r="C82" s="800"/>
      <c r="D82" s="800"/>
      <c r="E82" s="800"/>
      <c r="F82" s="800"/>
      <c r="G82" s="800"/>
      <c r="H82" s="800"/>
      <c r="I82" s="800"/>
      <c r="J82" s="800"/>
      <c r="K82" s="800"/>
      <c r="L82" s="800"/>
      <c r="M82" s="800"/>
      <c r="N82" s="800"/>
      <c r="O82" s="801"/>
      <c r="P82" s="689"/>
      <c r="Q82" s="689"/>
      <c r="R82" s="94"/>
      <c r="S82" s="683"/>
    </row>
    <row r="83" spans="1:19" ht="18" customHeight="1" x14ac:dyDescent="0.2">
      <c r="A83" s="1030">
        <v>8029</v>
      </c>
      <c r="B83" s="1030" t="s">
        <v>266</v>
      </c>
      <c r="C83" s="339" t="s">
        <v>267</v>
      </c>
      <c r="D83" s="338">
        <v>3.6</v>
      </c>
      <c r="E83" s="338">
        <v>3.14</v>
      </c>
      <c r="F83" s="338">
        <v>22.596</v>
      </c>
      <c r="G83" s="338">
        <v>33.893999999999998</v>
      </c>
      <c r="H83" s="338">
        <v>1.6</v>
      </c>
      <c r="I83" s="338">
        <v>2.2000000000000002</v>
      </c>
      <c r="J83" s="338">
        <v>50</v>
      </c>
      <c r="K83" s="340" t="s">
        <v>268</v>
      </c>
      <c r="L83" s="338">
        <v>2754</v>
      </c>
      <c r="M83" s="338">
        <v>99.72</v>
      </c>
      <c r="N83" s="338">
        <f>ROUND(((D83*E83*2/3600)*(M83/100)),4)</f>
        <v>6.3E-3</v>
      </c>
      <c r="O83" s="338">
        <f>ROUND(((((H83*F83+I83*G83)/1000000)+(0.5*J83*(F83+G83)/1000000))*(M83/100)),5)</f>
        <v>1.5200000000000001E-3</v>
      </c>
      <c r="P83" s="688"/>
      <c r="Q83" s="688"/>
      <c r="R83" s="687">
        <v>56.49</v>
      </c>
      <c r="S83" s="554" t="s">
        <v>272</v>
      </c>
    </row>
    <row r="84" spans="1:19" ht="18" customHeight="1" x14ac:dyDescent="0.2">
      <c r="A84" s="896"/>
      <c r="B84" s="896"/>
      <c r="C84" s="341"/>
      <c r="D84" s="328"/>
      <c r="E84" s="328"/>
      <c r="F84" s="328"/>
      <c r="G84" s="328"/>
      <c r="H84" s="328"/>
      <c r="I84" s="328"/>
      <c r="J84" s="328"/>
      <c r="K84" s="342" t="s">
        <v>269</v>
      </c>
      <c r="L84" s="328" t="s">
        <v>270</v>
      </c>
      <c r="M84" s="328" t="s">
        <v>271</v>
      </c>
      <c r="N84" s="328">
        <f>ROUND(((D83*E83*2/3600)*(M84/100)),5)</f>
        <v>2.0000000000000002E-5</v>
      </c>
      <c r="O84" s="328">
        <f>ROUND(((((H83*F83+I83*G83)/1000000)+(0.5*J83*(F83+G83)/1000000))*(M84/100)),6)</f>
        <v>3.9999999999999998E-6</v>
      </c>
      <c r="P84" s="688">
        <f>SUM(N83:N84)</f>
        <v>6.3200000000000001E-3</v>
      </c>
      <c r="Q84" s="688">
        <f>SUM(O83:O84)</f>
        <v>1.5240000000000002E-3</v>
      </c>
      <c r="R84" s="94"/>
      <c r="S84" s="683"/>
    </row>
    <row r="94" spans="1:19" ht="18.75" x14ac:dyDescent="0.25">
      <c r="A94" s="127"/>
      <c r="B94"/>
    </row>
    <row r="95" spans="1:19" ht="18.75" x14ac:dyDescent="0.25">
      <c r="A95" s="135"/>
      <c r="B95"/>
    </row>
    <row r="96" spans="1:19" ht="15.75" x14ac:dyDescent="0.25">
      <c r="A96"/>
      <c r="B96" s="131"/>
    </row>
    <row r="97" spans="1:2" ht="15.75" x14ac:dyDescent="0.25">
      <c r="A97" s="131"/>
      <c r="B97"/>
    </row>
    <row r="98" spans="1:2" ht="18.75" x14ac:dyDescent="0.25">
      <c r="A98" s="132"/>
      <c r="B98"/>
    </row>
    <row r="99" spans="1:2" ht="18.75" x14ac:dyDescent="0.25">
      <c r="A99" s="132"/>
      <c r="B99"/>
    </row>
    <row r="100" spans="1:2" ht="18.75" x14ac:dyDescent="0.25">
      <c r="A100"/>
      <c r="B100" s="132"/>
    </row>
    <row r="101" spans="1:2" ht="18.75" x14ac:dyDescent="0.25">
      <c r="A101" s="132"/>
      <c r="B101"/>
    </row>
    <row r="102" spans="1:2" ht="18.75" x14ac:dyDescent="0.25">
      <c r="A102" s="133"/>
      <c r="B102"/>
    </row>
    <row r="103" spans="1:2" ht="18.75" x14ac:dyDescent="0.25">
      <c r="A103" s="132"/>
      <c r="B103"/>
    </row>
    <row r="104" spans="1:2" ht="15.75" x14ac:dyDescent="0.25">
      <c r="A104" s="131"/>
      <c r="B104"/>
    </row>
    <row r="105" spans="1:2" ht="15.75" x14ac:dyDescent="0.25">
      <c r="A105" s="131" t="s">
        <v>436</v>
      </c>
      <c r="B105"/>
    </row>
    <row r="106" spans="1:2" ht="15.75" x14ac:dyDescent="0.25">
      <c r="A106" s="131"/>
      <c r="B106"/>
    </row>
    <row r="107" spans="1:2" ht="18.75" x14ac:dyDescent="0.25">
      <c r="A107" s="132"/>
      <c r="B107"/>
    </row>
    <row r="108" spans="1:2" ht="18.75" x14ac:dyDescent="0.25">
      <c r="A108" s="132"/>
      <c r="B108"/>
    </row>
    <row r="109" spans="1:2" ht="18.75" x14ac:dyDescent="0.25">
      <c r="A109" s="132"/>
      <c r="B109"/>
    </row>
    <row r="110" spans="1:2" ht="18.75" x14ac:dyDescent="0.25">
      <c r="A110" s="133"/>
      <c r="B110"/>
    </row>
    <row r="111" spans="1:2" x14ac:dyDescent="0.25">
      <c r="A111"/>
      <c r="B111"/>
    </row>
    <row r="112" spans="1:2" ht="18.75" x14ac:dyDescent="0.25">
      <c r="A112" s="132" t="s">
        <v>439</v>
      </c>
      <c r="B112"/>
    </row>
    <row r="113" spans="1:2" ht="18.75" x14ac:dyDescent="0.25">
      <c r="A113" s="133"/>
      <c r="B113"/>
    </row>
    <row r="114" spans="1:2" ht="18.75" x14ac:dyDescent="0.25">
      <c r="A114" s="133"/>
      <c r="B114"/>
    </row>
    <row r="115" spans="1:2" ht="15.75" x14ac:dyDescent="0.25">
      <c r="A115" s="131" t="s">
        <v>443</v>
      </c>
      <c r="B115"/>
    </row>
    <row r="116" spans="1:2" ht="15.75" x14ac:dyDescent="0.25">
      <c r="A116" s="131" t="s">
        <v>443</v>
      </c>
      <c r="B116"/>
    </row>
    <row r="117" spans="1:2" ht="15.75" x14ac:dyDescent="0.25">
      <c r="A117" s="131" t="s">
        <v>428</v>
      </c>
      <c r="B117"/>
    </row>
    <row r="118" spans="1:2" ht="15.75" x14ac:dyDescent="0.25">
      <c r="A118" s="131" t="s">
        <v>443</v>
      </c>
      <c r="B118"/>
    </row>
    <row r="119" spans="1:2" ht="18.75" x14ac:dyDescent="0.25">
      <c r="A119" s="132"/>
      <c r="B119"/>
    </row>
    <row r="120" spans="1:2" ht="18.75" x14ac:dyDescent="0.25">
      <c r="A120" s="132"/>
      <c r="B120"/>
    </row>
    <row r="121" spans="1:2" ht="18.75" x14ac:dyDescent="0.25">
      <c r="A121" s="133"/>
      <c r="B121"/>
    </row>
    <row r="122" spans="1:2" ht="18.75" x14ac:dyDescent="0.25">
      <c r="A122" s="133"/>
      <c r="B122"/>
    </row>
    <row r="123" spans="1:2" ht="18.75" x14ac:dyDescent="0.25">
      <c r="A123" s="133"/>
      <c r="B123"/>
    </row>
    <row r="124" spans="1:2" ht="15.75" x14ac:dyDescent="0.25">
      <c r="A124" s="131" t="s">
        <v>448</v>
      </c>
      <c r="B124"/>
    </row>
    <row r="125" spans="1:2" ht="15.75" x14ac:dyDescent="0.25">
      <c r="A125" s="131" t="s">
        <v>449</v>
      </c>
      <c r="B125"/>
    </row>
    <row r="126" spans="1:2" ht="18.75" x14ac:dyDescent="0.25">
      <c r="A126" s="135"/>
      <c r="B126"/>
    </row>
    <row r="127" spans="1:2" ht="18.75" x14ac:dyDescent="0.25">
      <c r="A127" s="132"/>
      <c r="B127"/>
    </row>
    <row r="128" spans="1:2" ht="18.75" x14ac:dyDescent="0.25">
      <c r="A128" s="132"/>
      <c r="B128"/>
    </row>
    <row r="129" spans="1:2" ht="18.75" x14ac:dyDescent="0.25">
      <c r="A129" s="132"/>
      <c r="B129"/>
    </row>
    <row r="130" spans="1:2" ht="18.75" x14ac:dyDescent="0.25">
      <c r="A130" s="132"/>
      <c r="B130"/>
    </row>
    <row r="131" spans="1:2" ht="18.75" x14ac:dyDescent="0.25">
      <c r="A131" s="133"/>
      <c r="B131"/>
    </row>
    <row r="132" spans="1:2" ht="18.75" x14ac:dyDescent="0.25">
      <c r="A132" s="133"/>
      <c r="B132"/>
    </row>
    <row r="133" spans="1:2" ht="18.75" x14ac:dyDescent="0.25">
      <c r="A133" s="132"/>
      <c r="B133"/>
    </row>
    <row r="134" spans="1:2" ht="18.75" x14ac:dyDescent="0.25">
      <c r="A134" s="132"/>
      <c r="B134"/>
    </row>
    <row r="135" spans="1:2" ht="18.75" x14ac:dyDescent="0.25">
      <c r="A135" s="133"/>
      <c r="B135"/>
    </row>
    <row r="136" spans="1:2" x14ac:dyDescent="0.25">
      <c r="A136" s="136"/>
      <c r="B136"/>
    </row>
    <row r="137" spans="1:2" ht="15.75" x14ac:dyDescent="0.25">
      <c r="A137" s="131" t="s">
        <v>434</v>
      </c>
      <c r="B137"/>
    </row>
    <row r="138" spans="1:2" ht="18.75" x14ac:dyDescent="0.25">
      <c r="A138" s="137"/>
      <c r="B138"/>
    </row>
    <row r="139" spans="1:2" ht="18.75" x14ac:dyDescent="0.25">
      <c r="A139" s="132"/>
      <c r="B139"/>
    </row>
  </sheetData>
  <mergeCells count="82">
    <mergeCell ref="A42:O42"/>
    <mergeCell ref="A38:O38"/>
    <mergeCell ref="B44:B45"/>
    <mergeCell ref="B39:B40"/>
    <mergeCell ref="C39:C40"/>
    <mergeCell ref="D39:D40"/>
    <mergeCell ref="E39:E40"/>
    <mergeCell ref="F39:F40"/>
    <mergeCell ref="M39:M40"/>
    <mergeCell ref="N39:O39"/>
    <mergeCell ref="G39:G40"/>
    <mergeCell ref="H39:H40"/>
    <mergeCell ref="I39:I40"/>
    <mergeCell ref="J39:J40"/>
    <mergeCell ref="K39:K40"/>
    <mergeCell ref="L39:L40"/>
    <mergeCell ref="A62:A63"/>
    <mergeCell ref="A64:O64"/>
    <mergeCell ref="A65:A66"/>
    <mergeCell ref="A43:O43"/>
    <mergeCell ref="A44:A45"/>
    <mergeCell ref="A46:O46"/>
    <mergeCell ref="B47:B48"/>
    <mergeCell ref="B50:B51"/>
    <mergeCell ref="B53:B54"/>
    <mergeCell ref="A49:O49"/>
    <mergeCell ref="A50:A51"/>
    <mergeCell ref="A52:O52"/>
    <mergeCell ref="A47:A48"/>
    <mergeCell ref="A61:O61"/>
    <mergeCell ref="A39:A40"/>
    <mergeCell ref="A83:A84"/>
    <mergeCell ref="A76:O76"/>
    <mergeCell ref="A77:A78"/>
    <mergeCell ref="A79:O79"/>
    <mergeCell ref="A80:A81"/>
    <mergeCell ref="A82:O82"/>
    <mergeCell ref="B83:B84"/>
    <mergeCell ref="B77:B78"/>
    <mergeCell ref="B80:B81"/>
    <mergeCell ref="A70:O70"/>
    <mergeCell ref="A71:A72"/>
    <mergeCell ref="A73:O73"/>
    <mergeCell ref="A74:A75"/>
    <mergeCell ref="B68:B69"/>
    <mergeCell ref="B71:B72"/>
    <mergeCell ref="B74:B75"/>
    <mergeCell ref="A1:O1"/>
    <mergeCell ref="A3:N3"/>
    <mergeCell ref="A4:O4"/>
    <mergeCell ref="A6:O6"/>
    <mergeCell ref="A68:A69"/>
    <mergeCell ref="A67:O67"/>
    <mergeCell ref="A53:A54"/>
    <mergeCell ref="A55:O55"/>
    <mergeCell ref="A56:A57"/>
    <mergeCell ref="A58:O58"/>
    <mergeCell ref="A59:A60"/>
    <mergeCell ref="B56:B57"/>
    <mergeCell ref="B59:B60"/>
    <mergeCell ref="B62:B63"/>
    <mergeCell ref="B65:B66"/>
    <mergeCell ref="A8:O8"/>
    <mergeCell ref="A9:O9"/>
    <mergeCell ref="A11:O11"/>
    <mergeCell ref="A12:O12"/>
    <mergeCell ref="A14:O14"/>
    <mergeCell ref="A15:O15"/>
    <mergeCell ref="A16:O16"/>
    <mergeCell ref="A18:O18"/>
    <mergeCell ref="A19:O19"/>
    <mergeCell ref="A21:O21"/>
    <mergeCell ref="A22:O22"/>
    <mergeCell ref="A23:O23"/>
    <mergeCell ref="A25:O25"/>
    <mergeCell ref="A26:O26"/>
    <mergeCell ref="A28:O28"/>
    <mergeCell ref="A30:O30"/>
    <mergeCell ref="A31:O31"/>
    <mergeCell ref="A33:O33"/>
    <mergeCell ref="A35:O35"/>
    <mergeCell ref="A36:O36"/>
  </mergeCells>
  <pageMargins left="0.31496062992125984" right="0.31496062992125984" top="0.78740157480314965" bottom="0.39370078740157483" header="0.31496062992125984" footer="0.19685039370078741"/>
  <pageSetup paperSize="9" firstPageNumber="197" orientation="landscape" useFirstPageNumber="1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AK1208"/>
  <sheetViews>
    <sheetView view="pageBreakPreview" topLeftCell="J136" zoomScaleNormal="100" zoomScaleSheetLayoutView="100" workbookViewId="0">
      <selection activeCell="AH168" sqref="AH168"/>
    </sheetView>
  </sheetViews>
  <sheetFormatPr defaultRowHeight="15" x14ac:dyDescent="0.25"/>
  <cols>
    <col min="1" max="1" width="7.28515625" style="86" customWidth="1"/>
    <col min="2" max="2" width="12.140625" style="86" customWidth="1"/>
    <col min="3" max="3" width="9.140625" style="86"/>
    <col min="4" max="4" width="9.28515625" style="86" customWidth="1"/>
    <col min="5" max="5" width="5.140625" style="86" customWidth="1"/>
    <col min="6" max="6" width="4.5703125" style="87" customWidth="1"/>
    <col min="7" max="7" width="5.140625" style="86" customWidth="1"/>
    <col min="8" max="8" width="5" style="86" customWidth="1"/>
    <col min="9" max="10" width="4.85546875" style="86" customWidth="1"/>
    <col min="11" max="11" width="4.7109375" style="86" customWidth="1"/>
    <col min="12" max="12" width="4.42578125" style="86" customWidth="1"/>
    <col min="13" max="13" width="4.7109375" style="86" customWidth="1"/>
    <col min="14" max="14" width="5" style="86" customWidth="1"/>
    <col min="15" max="15" width="4" style="86" customWidth="1"/>
    <col min="16" max="16" width="4.42578125" style="86" customWidth="1"/>
    <col min="17" max="17" width="3.7109375" style="86" customWidth="1"/>
    <col min="18" max="18" width="4" style="86" customWidth="1"/>
    <col min="19" max="19" width="5.28515625" style="86" customWidth="1"/>
    <col min="20" max="28" width="0" style="86" hidden="1" customWidth="1"/>
    <col min="29" max="29" width="13.28515625" style="86" customWidth="1"/>
    <col min="30" max="30" width="5.5703125" style="86" customWidth="1"/>
    <col min="31" max="32" width="6.7109375" style="86" customWidth="1"/>
    <col min="33" max="33" width="9.140625" style="86"/>
    <col min="34" max="34" width="11.7109375" style="86" customWidth="1"/>
    <col min="35" max="16384" width="9.140625" style="86"/>
  </cols>
  <sheetData>
    <row r="1" spans="1:31" ht="18.75" x14ac:dyDescent="0.3">
      <c r="A1" s="1025" t="s">
        <v>460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  <c r="L1" s="1025"/>
      <c r="M1" s="1025"/>
      <c r="N1" s="1025"/>
      <c r="O1" s="1025"/>
      <c r="P1" s="1025"/>
      <c r="Q1" s="1025"/>
      <c r="R1" s="1025"/>
      <c r="S1" s="1025"/>
      <c r="T1" s="1025"/>
      <c r="U1" s="1025"/>
      <c r="V1" s="1025"/>
      <c r="W1" s="1025"/>
      <c r="X1" s="1025"/>
      <c r="Y1" s="1025"/>
      <c r="Z1" s="1025"/>
      <c r="AA1" s="1025"/>
      <c r="AB1" s="1025"/>
      <c r="AC1" s="1025"/>
      <c r="AD1" s="1025"/>
      <c r="AE1" s="1025"/>
    </row>
    <row r="2" spans="1:31" ht="9.75" customHeight="1" x14ac:dyDescent="0.25">
      <c r="F2" s="86"/>
    </row>
    <row r="3" spans="1:31" ht="18" customHeight="1" x14ac:dyDescent="0.25">
      <c r="A3" s="818" t="s">
        <v>461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  <c r="P3" s="1052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</row>
    <row r="4" spans="1:31" ht="39" customHeight="1" x14ac:dyDescent="0.25">
      <c r="A4" s="818" t="s">
        <v>462</v>
      </c>
      <c r="B4" s="1052"/>
      <c r="C4" s="1052"/>
      <c r="D4" s="1052"/>
      <c r="E4" s="1052"/>
      <c r="F4" s="1052"/>
      <c r="G4" s="1052"/>
      <c r="H4" s="1052"/>
      <c r="I4" s="1052"/>
      <c r="J4" s="1052"/>
      <c r="K4" s="1052"/>
      <c r="L4" s="1052"/>
      <c r="M4" s="1052"/>
      <c r="N4" s="1052"/>
      <c r="O4" s="1052"/>
      <c r="P4" s="1052"/>
      <c r="Q4" s="1052"/>
      <c r="R4" s="1052"/>
      <c r="S4" s="1052"/>
      <c r="T4" s="1052"/>
      <c r="U4" s="1052"/>
      <c r="V4" s="1052"/>
      <c r="W4" s="1052"/>
      <c r="X4" s="1052"/>
      <c r="Y4" s="1052"/>
      <c r="Z4" s="1052"/>
      <c r="AA4" s="1052"/>
      <c r="AB4" s="1052"/>
      <c r="AC4" s="1052"/>
      <c r="AD4" s="1052"/>
      <c r="AE4" s="1052"/>
    </row>
    <row r="5" spans="1:31" ht="7.5" customHeight="1" x14ac:dyDescent="0.25">
      <c r="F5" s="86"/>
    </row>
    <row r="6" spans="1:31" ht="38.25" customHeight="1" x14ac:dyDescent="0.25">
      <c r="A6" s="736" t="s">
        <v>456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</row>
    <row r="7" spans="1:31" ht="18.75" x14ac:dyDescent="0.25">
      <c r="A7" s="1053" t="s">
        <v>457</v>
      </c>
      <c r="B7" s="1053"/>
      <c r="C7" s="1053"/>
      <c r="D7" s="1053"/>
      <c r="E7" s="1053"/>
      <c r="F7" s="1053"/>
      <c r="G7" s="1053"/>
      <c r="H7" s="1053"/>
      <c r="I7" s="1053"/>
      <c r="J7" s="1053"/>
      <c r="K7" s="1053"/>
      <c r="L7" s="1053"/>
      <c r="M7" s="1053"/>
      <c r="N7" s="1053"/>
      <c r="O7" s="1053"/>
      <c r="P7" s="1053"/>
      <c r="Q7" s="1053"/>
      <c r="R7" s="1053"/>
      <c r="S7" s="1053"/>
      <c r="T7" s="1053"/>
      <c r="U7" s="1053"/>
      <c r="V7" s="1053"/>
      <c r="W7" s="1053"/>
      <c r="X7" s="1053"/>
      <c r="Y7" s="1053"/>
      <c r="Z7" s="1053"/>
      <c r="AA7" s="1053"/>
      <c r="AB7" s="1053"/>
      <c r="AC7" s="1053"/>
      <c r="AD7" s="1053"/>
      <c r="AE7" s="1053"/>
    </row>
    <row r="8" spans="1:31" ht="15" customHeight="1" x14ac:dyDescent="0.25">
      <c r="A8" s="86" t="s">
        <v>339</v>
      </c>
      <c r="F8" s="86"/>
    </row>
    <row r="9" spans="1:31" ht="15" customHeight="1" x14ac:dyDescent="0.25">
      <c r="A9" s="738" t="s">
        <v>659</v>
      </c>
      <c r="B9" s="738"/>
      <c r="C9" s="738"/>
      <c r="D9" s="738"/>
      <c r="E9" s="738"/>
      <c r="F9" s="738"/>
      <c r="G9" s="738"/>
      <c r="H9" s="738"/>
      <c r="I9" s="738"/>
      <c r="J9" s="738"/>
      <c r="K9" s="738"/>
      <c r="L9" s="738"/>
      <c r="M9" s="738"/>
      <c r="N9" s="738"/>
      <c r="O9" s="738"/>
      <c r="P9" s="738"/>
      <c r="Q9" s="738"/>
      <c r="R9" s="738"/>
      <c r="S9" s="738"/>
      <c r="T9" s="738"/>
      <c r="U9" s="738"/>
      <c r="V9" s="738"/>
      <c r="W9" s="738"/>
      <c r="X9" s="738"/>
      <c r="Y9" s="738"/>
      <c r="Z9" s="738"/>
      <c r="AA9" s="738"/>
      <c r="AB9" s="738"/>
      <c r="AC9" s="738"/>
      <c r="AD9" s="738"/>
      <c r="AE9" s="738"/>
    </row>
    <row r="10" spans="1:31" ht="15" customHeight="1" x14ac:dyDescent="0.25">
      <c r="A10" s="738" t="s">
        <v>660</v>
      </c>
      <c r="B10" s="738"/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</row>
    <row r="11" spans="1:31" ht="15" customHeight="1" x14ac:dyDescent="0.25">
      <c r="A11" s="738" t="s">
        <v>661</v>
      </c>
      <c r="B11" s="738"/>
      <c r="C11" s="738"/>
      <c r="D11" s="738"/>
      <c r="E11" s="738"/>
      <c r="F11" s="738"/>
      <c r="G11" s="738"/>
      <c r="H11" s="738"/>
      <c r="I11" s="738"/>
      <c r="J11" s="738"/>
      <c r="K11" s="738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738"/>
      <c r="W11" s="738"/>
      <c r="X11" s="738"/>
      <c r="Y11" s="738"/>
      <c r="Z11" s="738"/>
      <c r="AA11" s="738"/>
      <c r="AB11" s="738"/>
      <c r="AC11" s="738"/>
      <c r="AD11" s="738"/>
      <c r="AE11" s="738"/>
    </row>
    <row r="12" spans="1:31" ht="15" customHeight="1" x14ac:dyDescent="0.25">
      <c r="A12" s="738" t="s">
        <v>662</v>
      </c>
      <c r="B12" s="738"/>
      <c r="C12" s="738"/>
      <c r="D12" s="738"/>
      <c r="E12" s="738"/>
      <c r="F12" s="738"/>
      <c r="G12" s="738"/>
      <c r="H12" s="738"/>
      <c r="I12" s="738"/>
      <c r="J12" s="738"/>
      <c r="K12" s="738"/>
      <c r="L12" s="738"/>
      <c r="M12" s="738"/>
      <c r="N12" s="738"/>
      <c r="O12" s="738"/>
      <c r="P12" s="738"/>
      <c r="Q12" s="738"/>
      <c r="R12" s="738"/>
      <c r="S12" s="738"/>
      <c r="T12" s="738"/>
      <c r="U12" s="738"/>
      <c r="V12" s="738"/>
      <c r="W12" s="738"/>
      <c r="X12" s="738"/>
      <c r="Y12" s="738"/>
      <c r="Z12" s="738"/>
      <c r="AA12" s="738"/>
      <c r="AB12" s="738"/>
      <c r="AC12" s="738"/>
      <c r="AD12" s="738"/>
      <c r="AE12" s="738"/>
    </row>
    <row r="13" spans="1:31" ht="15" customHeight="1" x14ac:dyDescent="0.25">
      <c r="A13" s="738" t="s">
        <v>663</v>
      </c>
      <c r="B13" s="738"/>
      <c r="C13" s="738"/>
      <c r="D13" s="738"/>
      <c r="E13" s="738"/>
      <c r="F13" s="738"/>
      <c r="G13" s="738"/>
      <c r="H13" s="738"/>
      <c r="I13" s="738"/>
      <c r="J13" s="738"/>
      <c r="K13" s="738"/>
      <c r="L13" s="738"/>
      <c r="M13" s="738"/>
      <c r="N13" s="738"/>
      <c r="O13" s="738"/>
      <c r="P13" s="738"/>
      <c r="Q13" s="738"/>
      <c r="R13" s="738"/>
      <c r="S13" s="738"/>
      <c r="T13" s="738"/>
      <c r="U13" s="738"/>
      <c r="V13" s="738"/>
      <c r="W13" s="738"/>
      <c r="X13" s="738"/>
      <c r="Y13" s="738"/>
      <c r="Z13" s="738"/>
      <c r="AA13" s="738"/>
      <c r="AB13" s="738"/>
      <c r="AC13" s="738"/>
      <c r="AD13" s="738"/>
      <c r="AE13" s="738"/>
    </row>
    <row r="14" spans="1:31" ht="9.75" customHeight="1" x14ac:dyDescent="0.25">
      <c r="F14" s="86"/>
    </row>
    <row r="15" spans="1:31" s="115" customFormat="1" ht="18.75" x14ac:dyDescent="0.3">
      <c r="A15" s="1048" t="s">
        <v>458</v>
      </c>
      <c r="B15" s="1048"/>
      <c r="C15" s="1048"/>
      <c r="D15" s="1048"/>
      <c r="E15" s="1048"/>
      <c r="F15" s="1048"/>
      <c r="G15" s="1048"/>
      <c r="H15" s="1048"/>
      <c r="I15" s="1048"/>
      <c r="J15" s="1048"/>
      <c r="K15" s="1048"/>
      <c r="L15" s="1048"/>
      <c r="M15" s="1048"/>
      <c r="N15" s="1048"/>
      <c r="O15" s="1048"/>
      <c r="P15" s="1048"/>
      <c r="Q15" s="1048"/>
      <c r="R15" s="1048"/>
      <c r="S15" s="1048"/>
      <c r="T15" s="1048"/>
      <c r="U15" s="1048"/>
      <c r="V15" s="1048"/>
      <c r="W15" s="1048"/>
      <c r="X15" s="1048"/>
      <c r="Y15" s="1048"/>
      <c r="Z15" s="1048"/>
      <c r="AA15" s="1048"/>
      <c r="AB15" s="1048"/>
      <c r="AC15" s="1048"/>
      <c r="AD15" s="1048"/>
      <c r="AE15" s="1048"/>
    </row>
    <row r="16" spans="1:31" s="115" customFormat="1" ht="6.75" customHeight="1" x14ac:dyDescent="0.3">
      <c r="A16" s="690"/>
      <c r="B16" s="690"/>
      <c r="C16" s="690"/>
      <c r="D16" s="690"/>
      <c r="E16" s="690"/>
      <c r="F16" s="690"/>
      <c r="G16" s="690"/>
      <c r="H16" s="690"/>
      <c r="I16" s="690"/>
      <c r="J16" s="690"/>
      <c r="K16" s="690"/>
      <c r="L16" s="690"/>
      <c r="M16" s="690"/>
      <c r="N16" s="690"/>
      <c r="O16" s="690"/>
      <c r="P16" s="690"/>
      <c r="Q16" s="690"/>
      <c r="R16" s="690"/>
      <c r="S16" s="690"/>
      <c r="T16" s="690"/>
      <c r="U16" s="690"/>
      <c r="V16" s="690"/>
      <c r="W16" s="690"/>
      <c r="X16" s="690"/>
      <c r="Y16" s="690"/>
      <c r="Z16" s="690"/>
      <c r="AA16" s="690"/>
      <c r="AB16" s="690"/>
      <c r="AC16" s="690"/>
      <c r="AD16" s="690"/>
      <c r="AE16" s="690"/>
    </row>
    <row r="17" spans="1:31" ht="16.5" customHeight="1" x14ac:dyDescent="0.3">
      <c r="A17" s="1025" t="s">
        <v>459</v>
      </c>
      <c r="B17" s="1025"/>
      <c r="C17" s="1025"/>
      <c r="D17" s="1025"/>
      <c r="E17" s="1025"/>
      <c r="F17" s="1025"/>
      <c r="G17" s="1025"/>
      <c r="H17" s="1025"/>
      <c r="I17" s="1025"/>
      <c r="J17" s="1025"/>
      <c r="K17" s="1025"/>
      <c r="L17" s="1025"/>
      <c r="M17" s="1025"/>
      <c r="N17" s="1025"/>
      <c r="O17" s="1025"/>
      <c r="P17" s="1025"/>
      <c r="Q17" s="1025"/>
      <c r="R17" s="1025"/>
      <c r="S17" s="1025"/>
      <c r="T17" s="1025"/>
      <c r="U17" s="1025"/>
      <c r="V17" s="1025"/>
      <c r="W17" s="1025"/>
      <c r="X17" s="1025"/>
      <c r="Y17" s="1025"/>
      <c r="Z17" s="1025"/>
      <c r="AA17" s="1025"/>
      <c r="AB17" s="1025"/>
      <c r="AC17" s="1025"/>
      <c r="AD17" s="1025"/>
      <c r="AE17" s="1025"/>
    </row>
    <row r="18" spans="1:31" ht="15" customHeight="1" x14ac:dyDescent="0.25">
      <c r="A18" s="86" t="s">
        <v>339</v>
      </c>
      <c r="F18" s="86"/>
    </row>
    <row r="19" spans="1:31" ht="15" customHeight="1" x14ac:dyDescent="0.25">
      <c r="A19" s="738" t="s">
        <v>664</v>
      </c>
      <c r="B19" s="738"/>
      <c r="C19" s="738"/>
      <c r="D19" s="738"/>
      <c r="E19" s="738"/>
      <c r="F19" s="738"/>
      <c r="G19" s="738"/>
      <c r="H19" s="738"/>
      <c r="I19" s="738"/>
      <c r="J19" s="738"/>
      <c r="K19" s="738"/>
      <c r="L19" s="738"/>
      <c r="M19" s="738"/>
      <c r="N19" s="738"/>
      <c r="O19" s="738"/>
      <c r="P19" s="738"/>
      <c r="Q19" s="738"/>
      <c r="R19" s="738"/>
      <c r="S19" s="738"/>
      <c r="T19" s="738"/>
      <c r="U19" s="738"/>
      <c r="V19" s="738"/>
      <c r="W19" s="738"/>
      <c r="X19" s="738"/>
      <c r="Y19" s="738"/>
      <c r="Z19" s="738"/>
      <c r="AA19" s="738"/>
      <c r="AB19" s="738"/>
      <c r="AC19" s="738"/>
      <c r="AD19" s="738"/>
      <c r="AE19" s="738"/>
    </row>
    <row r="20" spans="1:31" ht="15" customHeight="1" x14ac:dyDescent="0.25">
      <c r="A20" s="738" t="s">
        <v>665</v>
      </c>
      <c r="B20" s="738"/>
      <c r="C20" s="738"/>
      <c r="D20" s="738"/>
      <c r="E20" s="738"/>
      <c r="F20" s="738"/>
      <c r="G20" s="738"/>
      <c r="H20" s="738"/>
      <c r="I20" s="738"/>
      <c r="J20" s="738"/>
      <c r="K20" s="738"/>
      <c r="L20" s="738"/>
      <c r="M20" s="738"/>
      <c r="N20" s="738"/>
      <c r="O20" s="738"/>
      <c r="P20" s="738"/>
      <c r="Q20" s="738"/>
      <c r="R20" s="738"/>
      <c r="S20" s="738"/>
      <c r="T20" s="738"/>
      <c r="U20" s="738"/>
      <c r="V20" s="738"/>
      <c r="W20" s="738"/>
      <c r="X20" s="738"/>
      <c r="Y20" s="738"/>
      <c r="Z20" s="738"/>
      <c r="AA20" s="738"/>
      <c r="AB20" s="738"/>
      <c r="AC20" s="738"/>
      <c r="AD20" s="738"/>
      <c r="AE20" s="738"/>
    </row>
    <row r="21" spans="1:31" ht="5.25" customHeight="1" x14ac:dyDescent="0.25">
      <c r="F21" s="86"/>
    </row>
    <row r="22" spans="1:31" s="115" customFormat="1" ht="33.75" customHeight="1" x14ac:dyDescent="0.3">
      <c r="A22" s="736" t="s">
        <v>670</v>
      </c>
      <c r="B22" s="736"/>
      <c r="C22" s="736"/>
      <c r="D22" s="736"/>
      <c r="E22" s="736"/>
      <c r="F22" s="736"/>
      <c r="G22" s="736"/>
      <c r="H22" s="736"/>
      <c r="I22" s="736"/>
      <c r="J22" s="736"/>
      <c r="K22" s="736"/>
      <c r="L22" s="736"/>
      <c r="M22" s="736"/>
      <c r="N22" s="736"/>
      <c r="O22" s="736"/>
      <c r="P22" s="736"/>
      <c r="Q22" s="736"/>
      <c r="R22" s="736"/>
      <c r="S22" s="736"/>
      <c r="T22" s="736"/>
      <c r="U22" s="736"/>
      <c r="V22" s="736"/>
      <c r="W22" s="736"/>
      <c r="X22" s="736"/>
      <c r="Y22" s="736"/>
      <c r="Z22" s="736"/>
      <c r="AA22" s="736"/>
      <c r="AB22" s="736"/>
      <c r="AC22" s="736"/>
      <c r="AD22" s="736"/>
      <c r="AE22" s="736"/>
    </row>
    <row r="23" spans="1:31" s="115" customFormat="1" ht="6.75" customHeight="1" x14ac:dyDescent="0.3">
      <c r="A23" s="690"/>
      <c r="B23" s="690"/>
      <c r="C23" s="690"/>
      <c r="D23" s="690"/>
      <c r="E23" s="690"/>
      <c r="F23" s="690"/>
      <c r="G23" s="690"/>
      <c r="H23" s="690"/>
      <c r="I23" s="690"/>
      <c r="J23" s="690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  <c r="W23" s="690"/>
      <c r="X23" s="690"/>
      <c r="Y23" s="690"/>
      <c r="Z23" s="690"/>
      <c r="AA23" s="690"/>
      <c r="AB23" s="690"/>
      <c r="AC23" s="690"/>
      <c r="AD23" s="690"/>
      <c r="AE23" s="690"/>
    </row>
    <row r="24" spans="1:31" ht="20.25" x14ac:dyDescent="0.35">
      <c r="A24" s="1025" t="s">
        <v>465</v>
      </c>
      <c r="B24" s="1025"/>
      <c r="C24" s="1025"/>
      <c r="D24" s="1025"/>
      <c r="E24" s="1025"/>
      <c r="F24" s="1025"/>
      <c r="G24" s="1025"/>
      <c r="H24" s="1025"/>
      <c r="I24" s="1025"/>
      <c r="J24" s="1025"/>
      <c r="K24" s="1025"/>
      <c r="L24" s="1025"/>
      <c r="M24" s="1025"/>
      <c r="N24" s="1025"/>
      <c r="O24" s="1025"/>
      <c r="P24" s="1025"/>
      <c r="Q24" s="1025"/>
      <c r="R24" s="1025"/>
      <c r="S24" s="1025"/>
      <c r="T24" s="1025"/>
      <c r="U24" s="1025"/>
      <c r="V24" s="1025"/>
      <c r="W24" s="1025"/>
      <c r="X24" s="1025"/>
      <c r="Y24" s="1025"/>
      <c r="Z24" s="1025"/>
      <c r="AA24" s="1025"/>
      <c r="AB24" s="1025"/>
      <c r="AC24" s="1025"/>
      <c r="AD24" s="1025"/>
      <c r="AE24" s="1025"/>
    </row>
    <row r="25" spans="1:31" ht="15" customHeight="1" x14ac:dyDescent="0.25">
      <c r="A25" s="86" t="s">
        <v>339</v>
      </c>
      <c r="F25" s="86"/>
    </row>
    <row r="26" spans="1:31" ht="15" customHeight="1" x14ac:dyDescent="0.25">
      <c r="A26" s="738" t="s">
        <v>666</v>
      </c>
      <c r="B26" s="738"/>
      <c r="C26" s="738"/>
      <c r="D26" s="738"/>
      <c r="E26" s="738"/>
      <c r="F26" s="738"/>
      <c r="G26" s="738"/>
      <c r="H26" s="738"/>
      <c r="I26" s="738"/>
      <c r="J26" s="738"/>
      <c r="K26" s="738"/>
      <c r="L26" s="738"/>
      <c r="M26" s="738"/>
      <c r="N26" s="738"/>
      <c r="O26" s="738"/>
      <c r="P26" s="738"/>
      <c r="Q26" s="738"/>
      <c r="R26" s="738"/>
      <c r="S26" s="738"/>
      <c r="T26" s="738"/>
      <c r="U26" s="738"/>
      <c r="V26" s="738"/>
      <c r="W26" s="738"/>
      <c r="X26" s="738"/>
      <c r="Y26" s="738"/>
      <c r="Z26" s="738"/>
      <c r="AA26" s="738"/>
      <c r="AB26" s="738"/>
      <c r="AC26" s="738"/>
      <c r="AD26" s="738"/>
      <c r="AE26" s="738"/>
    </row>
    <row r="27" spans="1:31" ht="15" customHeight="1" x14ac:dyDescent="0.25">
      <c r="A27" s="738" t="s">
        <v>667</v>
      </c>
      <c r="B27" s="738"/>
      <c r="C27" s="738"/>
      <c r="D27" s="738"/>
      <c r="E27" s="738"/>
      <c r="F27" s="738"/>
      <c r="G27" s="738"/>
      <c r="H27" s="738"/>
      <c r="I27" s="738"/>
      <c r="J27" s="738"/>
      <c r="K27" s="738"/>
      <c r="L27" s="738"/>
      <c r="M27" s="738"/>
      <c r="N27" s="738"/>
      <c r="O27" s="738"/>
      <c r="P27" s="738"/>
      <c r="Q27" s="738"/>
      <c r="R27" s="738"/>
      <c r="S27" s="738"/>
      <c r="T27" s="738"/>
      <c r="U27" s="738"/>
      <c r="V27" s="738"/>
      <c r="W27" s="738"/>
      <c r="X27" s="738"/>
      <c r="Y27" s="738"/>
      <c r="Z27" s="738"/>
      <c r="AA27" s="738"/>
      <c r="AB27" s="738"/>
      <c r="AC27" s="738"/>
      <c r="AD27" s="738"/>
      <c r="AE27" s="738"/>
    </row>
    <row r="28" spans="1:31" ht="15" customHeight="1" x14ac:dyDescent="0.25">
      <c r="A28" s="738" t="s">
        <v>668</v>
      </c>
      <c r="B28" s="738"/>
      <c r="C28" s="738"/>
      <c r="D28" s="738"/>
      <c r="E28" s="738"/>
      <c r="F28" s="738"/>
      <c r="G28" s="738"/>
      <c r="H28" s="738"/>
      <c r="I28" s="738"/>
      <c r="J28" s="738"/>
      <c r="K28" s="738"/>
      <c r="L28" s="738"/>
      <c r="M28" s="738"/>
      <c r="N28" s="738"/>
      <c r="O28" s="738"/>
      <c r="P28" s="738"/>
      <c r="Q28" s="738"/>
      <c r="R28" s="738"/>
      <c r="S28" s="738"/>
      <c r="T28" s="738"/>
      <c r="U28" s="738"/>
      <c r="V28" s="738"/>
      <c r="W28" s="738"/>
      <c r="X28" s="738"/>
      <c r="Y28" s="738"/>
      <c r="Z28" s="738"/>
      <c r="AA28" s="738"/>
      <c r="AB28" s="738"/>
      <c r="AC28" s="738"/>
      <c r="AD28" s="738"/>
      <c r="AE28" s="738"/>
    </row>
    <row r="29" spans="1:31" ht="5.25" customHeight="1" x14ac:dyDescent="0.25">
      <c r="F29" s="86"/>
    </row>
    <row r="30" spans="1:31" s="115" customFormat="1" ht="38.25" customHeight="1" x14ac:dyDescent="0.3">
      <c r="A30" s="1051" t="s">
        <v>671</v>
      </c>
      <c r="B30" s="1051"/>
      <c r="C30" s="1051"/>
      <c r="D30" s="1051"/>
      <c r="E30" s="1051"/>
      <c r="F30" s="1051"/>
      <c r="G30" s="1051"/>
      <c r="H30" s="1051"/>
      <c r="I30" s="1051"/>
      <c r="J30" s="1051"/>
      <c r="K30" s="1051"/>
      <c r="L30" s="1051"/>
      <c r="M30" s="1051"/>
      <c r="N30" s="1051"/>
      <c r="O30" s="1051"/>
      <c r="P30" s="1051"/>
      <c r="Q30" s="1051"/>
      <c r="R30" s="1051"/>
      <c r="S30" s="1051"/>
      <c r="T30" s="1051"/>
      <c r="U30" s="1051"/>
      <c r="V30" s="1051"/>
      <c r="W30" s="1051"/>
      <c r="X30" s="1051"/>
      <c r="Y30" s="1051"/>
      <c r="Z30" s="1051"/>
      <c r="AA30" s="1051"/>
      <c r="AB30" s="1051"/>
      <c r="AC30" s="1051"/>
      <c r="AD30" s="1051"/>
      <c r="AE30" s="1051"/>
    </row>
    <row r="31" spans="1:31" s="115" customFormat="1" ht="7.5" customHeight="1" x14ac:dyDescent="0.3">
      <c r="A31" s="691"/>
      <c r="B31" s="691"/>
      <c r="C31" s="691"/>
      <c r="D31" s="691"/>
      <c r="E31" s="691"/>
      <c r="F31" s="691"/>
      <c r="G31" s="691"/>
      <c r="H31" s="691"/>
      <c r="I31" s="691"/>
      <c r="J31" s="691"/>
      <c r="K31" s="691"/>
      <c r="L31" s="691"/>
      <c r="M31" s="691"/>
      <c r="N31" s="691"/>
      <c r="O31" s="691"/>
      <c r="P31" s="691"/>
      <c r="Q31" s="691"/>
      <c r="R31" s="691"/>
      <c r="S31" s="691"/>
      <c r="T31" s="691"/>
      <c r="U31" s="691"/>
      <c r="V31" s="691"/>
      <c r="W31" s="691"/>
      <c r="X31" s="691"/>
      <c r="Y31" s="691"/>
      <c r="Z31" s="691"/>
      <c r="AA31" s="691"/>
      <c r="AB31" s="691"/>
      <c r="AC31" s="691"/>
      <c r="AD31" s="691"/>
      <c r="AE31" s="691"/>
    </row>
    <row r="32" spans="1:31" ht="22.5" x14ac:dyDescent="0.35">
      <c r="A32" s="1025" t="s">
        <v>464</v>
      </c>
      <c r="B32" s="1025"/>
      <c r="C32" s="1025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025"/>
      <c r="AC32" s="1025"/>
      <c r="AD32" s="1025"/>
      <c r="AE32" s="1025"/>
    </row>
    <row r="33" spans="1:32" ht="11.25" customHeight="1" x14ac:dyDescent="0.3">
      <c r="A33" s="618"/>
      <c r="B33" s="618"/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  <c r="AC33" s="618"/>
      <c r="AD33" s="618"/>
      <c r="AE33" s="618"/>
    </row>
    <row r="34" spans="1:32" s="115" customFormat="1" ht="43.5" customHeight="1" x14ac:dyDescent="0.3">
      <c r="A34" s="1051" t="s">
        <v>669</v>
      </c>
      <c r="B34" s="1051"/>
      <c r="C34" s="1051"/>
      <c r="D34" s="1051"/>
      <c r="E34" s="1051"/>
      <c r="F34" s="1051"/>
      <c r="G34" s="1051"/>
      <c r="H34" s="1051"/>
      <c r="I34" s="1051"/>
      <c r="J34" s="1051"/>
      <c r="K34" s="1051"/>
      <c r="L34" s="1051"/>
      <c r="M34" s="1051"/>
      <c r="N34" s="1051"/>
      <c r="O34" s="1051"/>
      <c r="P34" s="1051"/>
      <c r="Q34" s="1051"/>
      <c r="R34" s="1051"/>
      <c r="S34" s="1051"/>
      <c r="T34" s="1051"/>
      <c r="U34" s="1051"/>
      <c r="V34" s="1051"/>
      <c r="W34" s="1051"/>
      <c r="X34" s="1051"/>
      <c r="Y34" s="1051"/>
      <c r="Z34" s="1051"/>
      <c r="AA34" s="1051"/>
      <c r="AB34" s="1051"/>
      <c r="AC34" s="1051"/>
      <c r="AD34" s="1051"/>
      <c r="AE34" s="1051"/>
      <c r="AF34" s="1051"/>
    </row>
    <row r="35" spans="1:32" ht="20.25" x14ac:dyDescent="0.35">
      <c r="A35" s="1025" t="s">
        <v>463</v>
      </c>
      <c r="B35" s="1025"/>
      <c r="C35" s="1025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</row>
    <row r="36" spans="1:32" ht="10.5" customHeight="1" x14ac:dyDescent="0.3">
      <c r="A36" s="618"/>
      <c r="B36" s="618"/>
      <c r="C36" s="618"/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  <c r="AC36" s="618"/>
      <c r="AD36" s="618"/>
      <c r="AE36" s="618"/>
    </row>
    <row r="37" spans="1:32" ht="15" customHeight="1" x14ac:dyDescent="0.25">
      <c r="A37" s="86" t="s">
        <v>339</v>
      </c>
      <c r="F37" s="86"/>
    </row>
    <row r="38" spans="1:32" ht="15" customHeight="1" x14ac:dyDescent="0.25">
      <c r="A38" s="738" t="s">
        <v>672</v>
      </c>
      <c r="B38" s="738"/>
      <c r="C38" s="738"/>
      <c r="D38" s="738"/>
      <c r="E38" s="738"/>
      <c r="F38" s="738"/>
      <c r="G38" s="738"/>
      <c r="H38" s="738"/>
      <c r="I38" s="738"/>
      <c r="J38" s="738"/>
      <c r="K38" s="738"/>
      <c r="L38" s="738"/>
      <c r="M38" s="738"/>
      <c r="N38" s="738"/>
      <c r="O38" s="738"/>
      <c r="P38" s="738"/>
      <c r="Q38" s="738"/>
      <c r="R38" s="738"/>
      <c r="S38" s="738"/>
      <c r="T38" s="738"/>
      <c r="U38" s="738"/>
      <c r="V38" s="738"/>
      <c r="W38" s="738"/>
      <c r="X38" s="738"/>
      <c r="Y38" s="738"/>
      <c r="Z38" s="738"/>
      <c r="AA38" s="738"/>
      <c r="AB38" s="738"/>
      <c r="AC38" s="738"/>
      <c r="AD38" s="738"/>
      <c r="AE38" s="738"/>
    </row>
    <row r="39" spans="1:32" ht="15.75" x14ac:dyDescent="0.25">
      <c r="A39" s="1050" t="s">
        <v>673</v>
      </c>
      <c r="B39" s="1050"/>
      <c r="C39" s="1050"/>
      <c r="D39" s="1050"/>
      <c r="E39" s="1050"/>
      <c r="F39" s="1050"/>
      <c r="G39" s="1050"/>
      <c r="H39" s="1050"/>
      <c r="I39" s="1050"/>
      <c r="J39" s="1050"/>
      <c r="K39" s="1050"/>
      <c r="L39" s="1050"/>
      <c r="M39" s="1050"/>
      <c r="N39" s="1050"/>
      <c r="O39" s="1050"/>
      <c r="P39" s="1050"/>
      <c r="Q39" s="1050"/>
      <c r="R39" s="1050"/>
      <c r="S39" s="1050"/>
      <c r="T39" s="1050"/>
      <c r="U39" s="1050"/>
      <c r="V39" s="1050"/>
      <c r="W39" s="1050"/>
      <c r="X39" s="1050"/>
      <c r="Y39" s="1050"/>
      <c r="Z39" s="1050"/>
      <c r="AA39" s="1050"/>
      <c r="AB39" s="1050"/>
      <c r="AC39" s="1050"/>
      <c r="AD39" s="1050"/>
      <c r="AE39" s="1050"/>
    </row>
    <row r="40" spans="1:32" ht="15.75" x14ac:dyDescent="0.25">
      <c r="A40" s="692"/>
      <c r="B40" s="692"/>
      <c r="C40" s="692"/>
      <c r="D40" s="692"/>
      <c r="E40" s="692"/>
      <c r="F40" s="692"/>
      <c r="G40" s="692"/>
      <c r="H40" s="692"/>
      <c r="I40" s="692"/>
      <c r="J40" s="692"/>
      <c r="K40" s="692"/>
      <c r="L40" s="692"/>
      <c r="M40" s="692"/>
      <c r="N40" s="692"/>
      <c r="O40" s="692"/>
      <c r="P40" s="692"/>
      <c r="Q40" s="692"/>
      <c r="R40" s="692"/>
      <c r="S40" s="692"/>
      <c r="T40" s="692"/>
      <c r="U40" s="692"/>
      <c r="V40" s="692"/>
      <c r="W40" s="692"/>
      <c r="X40" s="692"/>
      <c r="Y40" s="692"/>
      <c r="Z40" s="692"/>
      <c r="AA40" s="692"/>
      <c r="AB40" s="692"/>
      <c r="AC40" s="692"/>
      <c r="AD40" s="692"/>
      <c r="AE40" s="692"/>
    </row>
    <row r="41" spans="1:32" s="693" customFormat="1" ht="20.25" customHeight="1" x14ac:dyDescent="0.25">
      <c r="A41" s="1049" t="s">
        <v>658</v>
      </c>
      <c r="B41" s="1049"/>
      <c r="C41" s="1049"/>
      <c r="D41" s="1049"/>
      <c r="E41" s="1049"/>
      <c r="F41" s="1049"/>
      <c r="G41" s="1049"/>
      <c r="H41" s="1049"/>
      <c r="I41" s="1049"/>
      <c r="J41" s="1049"/>
      <c r="K41" s="1049"/>
      <c r="L41" s="1049"/>
      <c r="M41" s="1049"/>
      <c r="N41" s="1049"/>
      <c r="O41" s="1049"/>
      <c r="P41" s="1049"/>
      <c r="Q41" s="1049"/>
      <c r="R41" s="1049"/>
      <c r="S41" s="1049"/>
      <c r="T41" s="1049"/>
      <c r="U41" s="1049"/>
      <c r="V41" s="1049"/>
      <c r="W41" s="1049"/>
      <c r="X41" s="1049"/>
      <c r="Y41" s="1049"/>
      <c r="Z41" s="1049"/>
      <c r="AA41" s="1049"/>
      <c r="AB41" s="1049"/>
      <c r="AC41" s="1049"/>
      <c r="AD41" s="1049"/>
      <c r="AE41" s="1049"/>
      <c r="AF41" s="1049"/>
    </row>
    <row r="42" spans="1:32" s="693" customFormat="1" ht="12.75" customHeight="1" x14ac:dyDescent="0.25">
      <c r="A42" s="639"/>
      <c r="B42" s="639"/>
      <c r="C42" s="639"/>
      <c r="D42" s="639"/>
      <c r="E42" s="639"/>
      <c r="F42" s="639"/>
      <c r="G42" s="639"/>
      <c r="H42" s="639"/>
      <c r="I42" s="639"/>
      <c r="J42" s="639"/>
      <c r="K42" s="639"/>
      <c r="L42" s="639"/>
      <c r="M42" s="639"/>
      <c r="N42" s="639"/>
      <c r="O42" s="639"/>
      <c r="P42" s="639"/>
      <c r="Q42" s="639"/>
      <c r="R42" s="639"/>
      <c r="S42" s="639"/>
      <c r="T42" s="639"/>
      <c r="U42" s="639"/>
      <c r="V42" s="639"/>
      <c r="W42" s="639"/>
      <c r="X42" s="639"/>
      <c r="Y42" s="639"/>
      <c r="Z42" s="639"/>
      <c r="AA42" s="639"/>
      <c r="AB42" s="639"/>
      <c r="AC42" s="639"/>
      <c r="AD42" s="639"/>
      <c r="AE42" s="639"/>
      <c r="AF42" s="639"/>
    </row>
    <row r="43" spans="1:32" s="134" customFormat="1" ht="15.75" x14ac:dyDescent="0.25">
      <c r="A43" s="815" t="s">
        <v>316</v>
      </c>
      <c r="B43" s="815"/>
      <c r="C43" s="815"/>
      <c r="D43" s="815"/>
      <c r="E43" s="815"/>
      <c r="F43" s="815"/>
      <c r="G43" s="815"/>
      <c r="H43" s="815"/>
      <c r="I43" s="815"/>
      <c r="J43" s="815"/>
      <c r="K43" s="815"/>
      <c r="L43" s="815"/>
      <c r="M43" s="815"/>
      <c r="N43" s="815"/>
      <c r="O43" s="815"/>
      <c r="P43" s="815"/>
      <c r="Q43" s="815"/>
      <c r="R43" s="815"/>
      <c r="S43" s="815"/>
      <c r="T43" s="815"/>
      <c r="U43" s="815"/>
      <c r="V43" s="815"/>
      <c r="W43" s="815"/>
      <c r="X43" s="815"/>
      <c r="Y43" s="815"/>
      <c r="Z43" s="815"/>
      <c r="AA43" s="815"/>
      <c r="AB43" s="815"/>
      <c r="AC43" s="815"/>
      <c r="AD43" s="815"/>
      <c r="AE43" s="815"/>
      <c r="AF43" s="815"/>
    </row>
    <row r="44" spans="1:32" x14ac:dyDescent="0.25">
      <c r="A44" s="1074" t="s">
        <v>314</v>
      </c>
      <c r="B44" s="1074" t="s">
        <v>176</v>
      </c>
      <c r="C44" s="1071" t="s">
        <v>177</v>
      </c>
      <c r="D44" s="1071" t="s">
        <v>178</v>
      </c>
      <c r="E44" s="1077" t="s">
        <v>179</v>
      </c>
      <c r="F44" s="1077" t="s">
        <v>180</v>
      </c>
      <c r="G44" s="1078" t="s">
        <v>181</v>
      </c>
      <c r="H44" s="1071" t="s">
        <v>182</v>
      </c>
      <c r="I44" s="1078" t="s">
        <v>183</v>
      </c>
      <c r="J44" s="1071" t="s">
        <v>184</v>
      </c>
      <c r="K44" s="1078" t="s">
        <v>185</v>
      </c>
      <c r="L44" s="1078" t="s">
        <v>186</v>
      </c>
      <c r="M44" s="1078"/>
      <c r="N44" s="1071" t="s">
        <v>187</v>
      </c>
      <c r="O44" s="1082" t="s">
        <v>188</v>
      </c>
      <c r="P44" s="1085" t="s">
        <v>189</v>
      </c>
      <c r="Q44" s="1086"/>
      <c r="R44" s="1087"/>
      <c r="S44" s="1071" t="s">
        <v>190</v>
      </c>
      <c r="T44" s="1077" t="s">
        <v>191</v>
      </c>
      <c r="U44" s="1077"/>
      <c r="V44" s="1077"/>
      <c r="W44" s="1077" t="s">
        <v>192</v>
      </c>
      <c r="X44" s="1077"/>
      <c r="Y44" s="1077"/>
      <c r="Z44" s="1077" t="s">
        <v>193</v>
      </c>
      <c r="AA44" s="1077"/>
      <c r="AB44" s="1077"/>
      <c r="AC44" s="1097" t="s">
        <v>48</v>
      </c>
      <c r="AD44" s="1079" t="s">
        <v>13</v>
      </c>
      <c r="AE44" s="1091" t="s">
        <v>194</v>
      </c>
      <c r="AF44" s="1094" t="s">
        <v>195</v>
      </c>
    </row>
    <row r="45" spans="1:32" x14ac:dyDescent="0.25">
      <c r="A45" s="1075"/>
      <c r="B45" s="1075"/>
      <c r="C45" s="1072"/>
      <c r="D45" s="1072"/>
      <c r="E45" s="1077"/>
      <c r="F45" s="1077"/>
      <c r="G45" s="1078"/>
      <c r="H45" s="1072"/>
      <c r="I45" s="1078"/>
      <c r="J45" s="1072"/>
      <c r="K45" s="1078"/>
      <c r="L45" s="1078"/>
      <c r="M45" s="1078"/>
      <c r="N45" s="1072"/>
      <c r="O45" s="1083"/>
      <c r="P45" s="1088"/>
      <c r="Q45" s="1089"/>
      <c r="R45" s="1090"/>
      <c r="S45" s="1072"/>
      <c r="T45" s="1077"/>
      <c r="U45" s="1077"/>
      <c r="V45" s="1077"/>
      <c r="W45" s="1077"/>
      <c r="X45" s="1077"/>
      <c r="Y45" s="1077"/>
      <c r="Z45" s="1077"/>
      <c r="AA45" s="1077"/>
      <c r="AB45" s="1077"/>
      <c r="AC45" s="1098"/>
      <c r="AD45" s="1080"/>
      <c r="AE45" s="1092"/>
      <c r="AF45" s="1095"/>
    </row>
    <row r="46" spans="1:32" ht="26.25" customHeight="1" x14ac:dyDescent="0.25">
      <c r="A46" s="1076"/>
      <c r="B46" s="1076"/>
      <c r="C46" s="1073"/>
      <c r="D46" s="1073"/>
      <c r="E46" s="1077"/>
      <c r="F46" s="1077"/>
      <c r="G46" s="1078"/>
      <c r="H46" s="1073"/>
      <c r="I46" s="1078"/>
      <c r="J46" s="1073"/>
      <c r="K46" s="1078"/>
      <c r="L46" s="99" t="s">
        <v>196</v>
      </c>
      <c r="M46" s="99" t="s">
        <v>197</v>
      </c>
      <c r="N46" s="1073"/>
      <c r="O46" s="1084"/>
      <c r="P46" s="99" t="s">
        <v>196</v>
      </c>
      <c r="Q46" s="99" t="s">
        <v>198</v>
      </c>
      <c r="R46" s="99" t="s">
        <v>197</v>
      </c>
      <c r="S46" s="1073"/>
      <c r="T46" s="70" t="s">
        <v>196</v>
      </c>
      <c r="U46" s="70" t="s">
        <v>198</v>
      </c>
      <c r="V46" s="70" t="s">
        <v>197</v>
      </c>
      <c r="W46" s="70" t="s">
        <v>196</v>
      </c>
      <c r="X46" s="70" t="s">
        <v>198</v>
      </c>
      <c r="Y46" s="70" t="s">
        <v>197</v>
      </c>
      <c r="Z46" s="70" t="s">
        <v>196</v>
      </c>
      <c r="AA46" s="70" t="s">
        <v>198</v>
      </c>
      <c r="AB46" s="70" t="s">
        <v>197</v>
      </c>
      <c r="AC46" s="1099"/>
      <c r="AD46" s="1081"/>
      <c r="AE46" s="1093"/>
      <c r="AF46" s="1096"/>
    </row>
    <row r="47" spans="1:32" ht="14.45" customHeight="1" x14ac:dyDescent="0.25">
      <c r="A47" s="44">
        <v>1</v>
      </c>
      <c r="B47" s="44">
        <v>2</v>
      </c>
      <c r="C47" s="44">
        <v>3</v>
      </c>
      <c r="D47" s="44">
        <v>4</v>
      </c>
      <c r="E47" s="44">
        <v>5</v>
      </c>
      <c r="F47" s="44">
        <v>6</v>
      </c>
      <c r="G47" s="44">
        <v>7</v>
      </c>
      <c r="H47" s="44">
        <v>8</v>
      </c>
      <c r="I47" s="44">
        <v>9</v>
      </c>
      <c r="J47" s="44">
        <v>10</v>
      </c>
      <c r="K47" s="44">
        <v>11</v>
      </c>
      <c r="L47" s="44">
        <v>12</v>
      </c>
      <c r="M47" s="44">
        <v>13</v>
      </c>
      <c r="N47" s="44">
        <v>14</v>
      </c>
      <c r="O47" s="44">
        <v>15</v>
      </c>
      <c r="P47" s="44">
        <v>16</v>
      </c>
      <c r="Q47" s="44">
        <v>17</v>
      </c>
      <c r="R47" s="44">
        <v>18</v>
      </c>
      <c r="S47" s="44">
        <v>19</v>
      </c>
      <c r="T47" s="44">
        <v>20</v>
      </c>
      <c r="U47" s="44">
        <v>21</v>
      </c>
      <c r="V47" s="44">
        <v>22</v>
      </c>
      <c r="W47" s="44">
        <v>23</v>
      </c>
      <c r="X47" s="44">
        <v>24</v>
      </c>
      <c r="Y47" s="44">
        <v>25</v>
      </c>
      <c r="Z47" s="44">
        <v>26</v>
      </c>
      <c r="AA47" s="44">
        <v>27</v>
      </c>
      <c r="AB47" s="44">
        <v>28</v>
      </c>
      <c r="AC47" s="44">
        <v>26</v>
      </c>
      <c r="AD47" s="44">
        <v>27</v>
      </c>
      <c r="AE47" s="44">
        <v>28</v>
      </c>
      <c r="AF47" s="44">
        <v>29</v>
      </c>
    </row>
    <row r="48" spans="1:32" ht="14.45" customHeight="1" x14ac:dyDescent="0.25">
      <c r="A48" s="1054" t="s">
        <v>301</v>
      </c>
      <c r="B48" s="1055"/>
      <c r="C48" s="1055"/>
      <c r="D48" s="1055"/>
      <c r="E48" s="1055"/>
      <c r="F48" s="1055"/>
      <c r="G48" s="1055"/>
      <c r="H48" s="1055"/>
      <c r="I48" s="1055"/>
      <c r="J48" s="1055"/>
      <c r="K48" s="1055"/>
      <c r="L48" s="1055"/>
      <c r="M48" s="1055"/>
      <c r="N48" s="1055"/>
      <c r="O48" s="1055"/>
      <c r="P48" s="1055"/>
      <c r="Q48" s="1055"/>
      <c r="R48" s="1055"/>
      <c r="S48" s="1055"/>
      <c r="T48" s="1055"/>
      <c r="U48" s="1055"/>
      <c r="V48" s="1055"/>
      <c r="W48" s="1055"/>
      <c r="X48" s="1055"/>
      <c r="Y48" s="1055"/>
      <c r="Z48" s="1055"/>
      <c r="AA48" s="1055"/>
      <c r="AB48" s="1055"/>
      <c r="AC48" s="1055"/>
      <c r="AD48" s="1055"/>
      <c r="AE48" s="1055"/>
      <c r="AF48" s="1056"/>
    </row>
    <row r="49" spans="1:32" ht="14.45" customHeight="1" x14ac:dyDescent="0.25">
      <c r="A49" s="1068" t="s">
        <v>16</v>
      </c>
      <c r="B49" s="1069"/>
      <c r="C49" s="1069"/>
      <c r="D49" s="1069"/>
      <c r="E49" s="1069"/>
      <c r="F49" s="1069"/>
      <c r="G49" s="1069"/>
      <c r="H49" s="1069"/>
      <c r="I49" s="1069"/>
      <c r="J49" s="1069"/>
      <c r="K49" s="1069"/>
      <c r="L49" s="1069"/>
      <c r="M49" s="1069"/>
      <c r="N49" s="1069"/>
      <c r="O49" s="1069"/>
      <c r="P49" s="1069"/>
      <c r="Q49" s="1069"/>
      <c r="R49" s="1069"/>
      <c r="S49" s="1069"/>
      <c r="T49" s="1069"/>
      <c r="U49" s="1069"/>
      <c r="V49" s="1069"/>
      <c r="W49" s="1069"/>
      <c r="X49" s="1069"/>
      <c r="Y49" s="1069"/>
      <c r="Z49" s="1069"/>
      <c r="AA49" s="1069"/>
      <c r="AB49" s="1069"/>
      <c r="AC49" s="1069"/>
      <c r="AD49" s="1069"/>
      <c r="AE49" s="1069"/>
      <c r="AF49" s="1070"/>
    </row>
    <row r="50" spans="1:32" ht="12.95" customHeight="1" x14ac:dyDescent="0.25">
      <c r="A50" s="45">
        <v>8030</v>
      </c>
      <c r="B50" s="46" t="s">
        <v>218</v>
      </c>
      <c r="C50" s="45">
        <v>4</v>
      </c>
      <c r="D50" s="45" t="s">
        <v>199</v>
      </c>
      <c r="E50" s="45">
        <v>1</v>
      </c>
      <c r="F50" s="45">
        <v>1</v>
      </c>
      <c r="G50" s="45">
        <v>6</v>
      </c>
      <c r="H50" s="45">
        <v>60</v>
      </c>
      <c r="I50" s="45">
        <f>(8-1-0.75*2)*60*F50-K50-8*0.12*60</f>
        <v>57.900000000000006</v>
      </c>
      <c r="J50" s="45">
        <v>14</v>
      </c>
      <c r="K50" s="45">
        <f>(8-1-0.75*2)*0.65*60*F50</f>
        <v>214.5</v>
      </c>
      <c r="L50" s="45">
        <v>2.4700000000000002</v>
      </c>
      <c r="M50" s="45">
        <v>2.4700000000000002</v>
      </c>
      <c r="N50" s="45">
        <v>10</v>
      </c>
      <c r="O50" s="45">
        <f>E50/F50</f>
        <v>1</v>
      </c>
      <c r="P50" s="45">
        <v>90</v>
      </c>
      <c r="Q50" s="45">
        <v>0</v>
      </c>
      <c r="R50" s="47">
        <v>0</v>
      </c>
      <c r="S50" s="45">
        <v>0.48</v>
      </c>
      <c r="T50" s="48">
        <f>ROUND((L50*I50+1.3*L50*K50+S50*H50),4)</f>
        <v>860.57249999999999</v>
      </c>
      <c r="U50" s="48">
        <f>ROUND((M50*I50+1.3*M50*K50+S50*H50),4)</f>
        <v>860.57249999999999</v>
      </c>
      <c r="V50" s="48">
        <f>ROUND((M50*I50+1.3*M50*K50+S50*H50),4)</f>
        <v>860.57249999999999</v>
      </c>
      <c r="W50" s="48">
        <f>ROUND((L50*J50+1.3*L50*N50+S50*G50),4)</f>
        <v>69.569999999999993</v>
      </c>
      <c r="X50" s="48">
        <f>ROUND((M50*J50+1.3*M50*N50+S50*G50),4)</f>
        <v>69.569999999999993</v>
      </c>
      <c r="Y50" s="48">
        <f>ROUND((M50*J50+1.3*M50*N50+S50*G50),4)</f>
        <v>69.569999999999993</v>
      </c>
      <c r="Z50" s="49">
        <f>ROUND((P50*T50*F50*O50/1000000),4)</f>
        <v>7.7499999999999999E-2</v>
      </c>
      <c r="AA50" s="49">
        <f>ROUND((Q50*U50*F50*O50/1000000),4)</f>
        <v>0</v>
      </c>
      <c r="AB50" s="49">
        <f>ROUND((R50*V50*F50*O50/1000000),4)</f>
        <v>0</v>
      </c>
      <c r="AC50" s="50" t="s">
        <v>200</v>
      </c>
      <c r="AD50" s="51" t="s">
        <v>153</v>
      </c>
      <c r="AE50" s="44">
        <f>ROUND((((X50*E50)/1800)*0.8),4)</f>
        <v>3.09E-2</v>
      </c>
      <c r="AF50" s="44">
        <f>ROUND(((Z50+AA50+AB50)*0.8),4)</f>
        <v>6.2E-2</v>
      </c>
    </row>
    <row r="51" spans="1:32" ht="12.95" customHeight="1" x14ac:dyDescent="0.25">
      <c r="A51" s="52"/>
      <c r="B51" s="53" t="s">
        <v>219</v>
      </c>
      <c r="C51" s="52"/>
      <c r="D51" s="52"/>
      <c r="E51" s="52"/>
      <c r="F51" s="63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68"/>
      <c r="T51" s="54"/>
      <c r="U51" s="54"/>
      <c r="V51" s="54"/>
      <c r="W51" s="54"/>
      <c r="X51" s="54"/>
      <c r="Y51" s="54"/>
      <c r="Z51" s="54"/>
      <c r="AA51" s="54"/>
      <c r="AB51" s="54"/>
      <c r="AC51" s="50" t="s">
        <v>201</v>
      </c>
      <c r="AD51" s="51" t="s">
        <v>202</v>
      </c>
      <c r="AE51" s="44">
        <f>ROUND((((X50*E50)/1800)*0.13),4)</f>
        <v>5.0000000000000001E-3</v>
      </c>
      <c r="AF51" s="44">
        <f>ROUND(((Z50+AA50+AB50)*0.13),4)</f>
        <v>1.01E-2</v>
      </c>
    </row>
    <row r="52" spans="1:32" ht="12.95" customHeight="1" x14ac:dyDescent="0.25">
      <c r="A52" s="52"/>
      <c r="B52" s="53"/>
      <c r="C52" s="55"/>
      <c r="D52" s="55"/>
      <c r="E52" s="52"/>
      <c r="F52" s="63"/>
      <c r="G52" s="52"/>
      <c r="H52" s="52"/>
      <c r="I52" s="52"/>
      <c r="J52" s="52"/>
      <c r="K52" s="52"/>
      <c r="L52" s="52">
        <v>0.19</v>
      </c>
      <c r="M52" s="52">
        <v>0.23</v>
      </c>
      <c r="N52" s="52"/>
      <c r="O52" s="52"/>
      <c r="P52" s="52"/>
      <c r="Q52" s="52"/>
      <c r="R52" s="52"/>
      <c r="S52" s="69">
        <v>9.7000000000000003E-2</v>
      </c>
      <c r="T52" s="48">
        <f>ROUND((L52*I50+1.3*L52*K50+S52*H50),4)</f>
        <v>69.802499999999995</v>
      </c>
      <c r="U52" s="48">
        <f>ROUND((M52*0.9*I50+1.3*M52*0.9*K50+S52*H50),4)</f>
        <v>75.527299999999997</v>
      </c>
      <c r="V52" s="48">
        <f>ROUND((M52*I50+1.3*M52*K50+S52*H50),4)</f>
        <v>83.272499999999994</v>
      </c>
      <c r="W52" s="48">
        <f>ROUND((L52*J50+1.3*L52*N50+S52*G50),4)</f>
        <v>5.7119999999999997</v>
      </c>
      <c r="X52" s="48">
        <f>ROUND((M52*0.9*J50+1.3*M52*0.9*N50+S52*G50),4)</f>
        <v>6.1710000000000003</v>
      </c>
      <c r="Y52" s="48">
        <f>ROUND((M52*J50+1.3*M52*N50+S52*G50),4)</f>
        <v>6.7919999999999998</v>
      </c>
      <c r="Z52" s="49">
        <f>ROUND((P50*T52*F50*O50/1000000),4)</f>
        <v>6.3E-3</v>
      </c>
      <c r="AA52" s="49">
        <f>ROUND((Q50*U52*F50*O50/1000000),4)</f>
        <v>0</v>
      </c>
      <c r="AB52" s="49">
        <f>ROUND((R50*V52*F50*O50/1000000),4)</f>
        <v>0</v>
      </c>
      <c r="AC52" s="50" t="s">
        <v>203</v>
      </c>
      <c r="AD52" s="51" t="s">
        <v>204</v>
      </c>
      <c r="AE52" s="44">
        <f>ROUND((((X52*E50)/1800)),4)</f>
        <v>3.3999999999999998E-3</v>
      </c>
      <c r="AF52" s="44">
        <f>ROUND(((Z52+AA52+AB52)),5)</f>
        <v>6.3E-3</v>
      </c>
    </row>
    <row r="53" spans="1:32" ht="12.95" customHeight="1" x14ac:dyDescent="0.25">
      <c r="A53" s="52"/>
      <c r="B53" s="98"/>
      <c r="C53" s="52"/>
      <c r="D53" s="52"/>
      <c r="E53" s="52"/>
      <c r="F53" s="63"/>
      <c r="G53" s="52"/>
      <c r="H53" s="52"/>
      <c r="I53" s="52"/>
      <c r="J53" s="52"/>
      <c r="K53" s="52"/>
      <c r="L53" s="52">
        <v>0.43</v>
      </c>
      <c r="M53" s="52">
        <v>0.51</v>
      </c>
      <c r="N53" s="52"/>
      <c r="O53" s="52"/>
      <c r="P53" s="52"/>
      <c r="Q53" s="52"/>
      <c r="R53" s="52"/>
      <c r="S53" s="69">
        <v>0.3</v>
      </c>
      <c r="T53" s="48">
        <f>ROUND((L53*I50+1.3*L53*K50+S53*H50),4)</f>
        <v>162.80250000000001</v>
      </c>
      <c r="U53" s="48">
        <f>ROUND((M53*0.9*I50+1.3*M53*0.9*K50+S53*H50),4)</f>
        <v>172.56829999999999</v>
      </c>
      <c r="V53" s="48">
        <f>ROUND((M53*I50+1.3*M53*K50+S53*H50),4)</f>
        <v>189.74250000000001</v>
      </c>
      <c r="W53" s="48">
        <f>ROUND((L53*J50+1.3*L53*N50+S53*G50),4)</f>
        <v>13.41</v>
      </c>
      <c r="X53" s="48">
        <f>ROUND((M53*0.9*J50+1.3*M53*0.9*N50+S53*G50),4)</f>
        <v>14.193</v>
      </c>
      <c r="Y53" s="48">
        <f>ROUND((M53*J50+1.3*N50+S53*G50),4)</f>
        <v>21.94</v>
      </c>
      <c r="Z53" s="49">
        <f>ROUND((P50*T53*F50*O50/1000000),4)</f>
        <v>1.47E-2</v>
      </c>
      <c r="AA53" s="49">
        <f>ROUND((Q50*U53*F50*O50/1000000),4)</f>
        <v>0</v>
      </c>
      <c r="AB53" s="49">
        <f>ROUND((R50*V53*F50*O50/1000000),4)</f>
        <v>0</v>
      </c>
      <c r="AC53" s="50" t="s">
        <v>205</v>
      </c>
      <c r="AD53" s="51" t="s">
        <v>206</v>
      </c>
      <c r="AE53" s="44">
        <f>ROUND((((X53*E50)/1800)),4)</f>
        <v>7.9000000000000008E-3</v>
      </c>
      <c r="AF53" s="44">
        <f>ROUND(((Z53+AA53+AB53)),4)</f>
        <v>1.47E-2</v>
      </c>
    </row>
    <row r="54" spans="1:32" ht="12.95" customHeight="1" x14ac:dyDescent="0.25">
      <c r="A54" s="52"/>
      <c r="B54" s="53"/>
      <c r="C54" s="52"/>
      <c r="D54" s="52"/>
      <c r="E54" s="52"/>
      <c r="F54" s="63"/>
      <c r="G54" s="52"/>
      <c r="H54" s="52"/>
      <c r="I54" s="52"/>
      <c r="J54" s="52"/>
      <c r="K54" s="52"/>
      <c r="L54" s="52">
        <v>0.27</v>
      </c>
      <c r="M54" s="52">
        <v>0.41</v>
      </c>
      <c r="N54" s="52"/>
      <c r="O54" s="52"/>
      <c r="P54" s="52"/>
      <c r="Q54" s="52"/>
      <c r="R54" s="52"/>
      <c r="S54" s="69">
        <v>0.06</v>
      </c>
      <c r="T54" s="48">
        <f>ROUND((L54*I50+1.3*L54*K50+S54*H50),4)</f>
        <v>94.522499999999994</v>
      </c>
      <c r="U54" s="48">
        <f>ROUND((M54*0.9*I50+1.3*M54*0.9*K50+S54*H50),4)</f>
        <v>127.8608</v>
      </c>
      <c r="V54" s="48">
        <f>ROUND((M54*I50+1.3*M54*K50+S54*H50),4)</f>
        <v>141.66749999999999</v>
      </c>
      <c r="W54" s="48">
        <f>ROUND((L54*J50+1.3*L54*N50+S54*G50),4)</f>
        <v>7.65</v>
      </c>
      <c r="X54" s="48">
        <f>ROUND((M54*0.9*J50+1.3*M54*0.9*N50+S54*G50),4)</f>
        <v>10.323</v>
      </c>
      <c r="Y54" s="48">
        <f>ROUND((M54*J50+1.3*M54*N50+S54*G50),4)</f>
        <v>11.43</v>
      </c>
      <c r="Z54" s="49">
        <f>ROUND((P50*T54*F50*O50/1000000),4)</f>
        <v>8.5000000000000006E-3</v>
      </c>
      <c r="AA54" s="49">
        <f>ROUND((Q50*U54*F50*O50/1000000),4)</f>
        <v>0</v>
      </c>
      <c r="AB54" s="49">
        <f>ROUND((R50*V54*F50*O50/1000000),4)</f>
        <v>0</v>
      </c>
      <c r="AC54" s="50" t="s">
        <v>250</v>
      </c>
      <c r="AD54" s="51" t="s">
        <v>208</v>
      </c>
      <c r="AE54" s="44">
        <f>ROUND((((X54*E50)/1800)),4)</f>
        <v>5.7000000000000002E-3</v>
      </c>
      <c r="AF54" s="44">
        <f>ROUND(((Z54+AA54+AB54)),4)</f>
        <v>8.5000000000000006E-3</v>
      </c>
    </row>
    <row r="55" spans="1:32" ht="12.95" customHeight="1" x14ac:dyDescent="0.25">
      <c r="A55" s="52"/>
      <c r="B55" s="53"/>
      <c r="C55" s="56"/>
      <c r="D55" s="56"/>
      <c r="E55" s="56"/>
      <c r="F55" s="66"/>
      <c r="G55" s="56"/>
      <c r="H55" s="56"/>
      <c r="I55" s="56"/>
      <c r="J55" s="56"/>
      <c r="K55" s="56"/>
      <c r="L55" s="56">
        <v>1.29</v>
      </c>
      <c r="M55" s="56">
        <v>1.57</v>
      </c>
      <c r="N55" s="56"/>
      <c r="O55" s="56"/>
      <c r="P55" s="56"/>
      <c r="Q55" s="56"/>
      <c r="R55" s="56"/>
      <c r="S55" s="69">
        <v>2.4</v>
      </c>
      <c r="T55" s="70">
        <f>ROUND((L55*I50+1.3*L55*K50+S55*H50),4)</f>
        <v>578.40750000000003</v>
      </c>
      <c r="U55" s="70">
        <f>ROUND((M55*0.9*I50+1.3*M55*0.9*K50+S55*H50),4)</f>
        <v>619.82780000000002</v>
      </c>
      <c r="V55" s="70">
        <f>ROUND((M55*I50+1.3*M55*K50+S55*H50),4)</f>
        <v>672.69749999999999</v>
      </c>
      <c r="W55" s="70">
        <f>ROUND((L55*J50+1.3*L55*N50+S55*G50),4)</f>
        <v>49.23</v>
      </c>
      <c r="X55" s="70">
        <f>ROUND((M55*0.9*J50+1.3*M55*0.9*N50+S55*G50),4)</f>
        <v>52.551000000000002</v>
      </c>
      <c r="Y55" s="70">
        <f>ROUND((M55*J50+1.3*M55*N50+S55*G50),4)</f>
        <v>56.79</v>
      </c>
      <c r="Z55" s="71">
        <f>ROUND((P50*T55*F50*O50/1000000),4)</f>
        <v>5.21E-2</v>
      </c>
      <c r="AA55" s="71">
        <f>ROUND((Q50*U55*F50*O50/1000000),4)</f>
        <v>0</v>
      </c>
      <c r="AB55" s="71">
        <f>ROUND((R50*V55*F50*O50/1000000),4)</f>
        <v>0</v>
      </c>
      <c r="AC55" s="50" t="s">
        <v>170</v>
      </c>
      <c r="AD55" s="51" t="s">
        <v>162</v>
      </c>
      <c r="AE55" s="44">
        <f>ROUND((((X55*E50)/1800)),4)</f>
        <v>2.92E-2</v>
      </c>
      <c r="AF55" s="44">
        <f>ROUND(((Z55+AA55+AB55)),4)</f>
        <v>5.21E-2</v>
      </c>
    </row>
    <row r="56" spans="1:32" ht="12.95" customHeight="1" x14ac:dyDescent="0.25">
      <c r="A56" s="63"/>
      <c r="B56" s="46" t="s">
        <v>211</v>
      </c>
      <c r="C56" s="46">
        <v>5</v>
      </c>
      <c r="D56" s="45" t="s">
        <v>209</v>
      </c>
      <c r="E56" s="45">
        <v>1</v>
      </c>
      <c r="F56" s="45">
        <v>3</v>
      </c>
      <c r="G56" s="45">
        <v>6</v>
      </c>
      <c r="H56" s="45">
        <v>60</v>
      </c>
      <c r="I56" s="45">
        <f>(8-1-0.75*2)*60*F56-K56-8*0.12*60</f>
        <v>288.89999999999998</v>
      </c>
      <c r="J56" s="45">
        <v>14</v>
      </c>
      <c r="K56" s="45">
        <f>(8-1-0.75*2)*0.65*60*F56</f>
        <v>643.5</v>
      </c>
      <c r="L56" s="48">
        <v>4.01</v>
      </c>
      <c r="M56" s="48">
        <v>4.01</v>
      </c>
      <c r="N56" s="45">
        <v>10</v>
      </c>
      <c r="O56" s="45">
        <f>E56/F56</f>
        <v>0.33333333333333331</v>
      </c>
      <c r="P56" s="45">
        <v>120</v>
      </c>
      <c r="Q56" s="45">
        <v>30</v>
      </c>
      <c r="R56" s="47">
        <v>60</v>
      </c>
      <c r="S56" s="47">
        <v>0.78</v>
      </c>
      <c r="T56" s="48">
        <f>ROUND((L56*I56+1.3*L56*K56+S56*H56),4)</f>
        <v>4559.8545000000004</v>
      </c>
      <c r="U56" s="48">
        <f>ROUND((M56*I56+1.3*M56*K56+S56*H56),4)</f>
        <v>4559.8545000000004</v>
      </c>
      <c r="V56" s="48">
        <f>ROUND((M56*I56+1.3*M56*K56+S56*H56),4)</f>
        <v>4559.8545000000004</v>
      </c>
      <c r="W56" s="48">
        <f>ROUND((L56*J56+1.3*L56*N56+S56*G56),4)</f>
        <v>112.95</v>
      </c>
      <c r="X56" s="48">
        <f>ROUND((M56*J56+1.3*M56*N56+S56*G56),4)</f>
        <v>112.95</v>
      </c>
      <c r="Y56" s="48">
        <f>ROUND((M56*J56+1.3*M56*N56+S56*G56),4)</f>
        <v>112.95</v>
      </c>
      <c r="Z56" s="49">
        <f>ROUND((P56*T56*F56*O56/1000000),4)</f>
        <v>0.54720000000000002</v>
      </c>
      <c r="AA56" s="49">
        <f>ROUND((Q56*U56*F56*O56/1000000),4)</f>
        <v>0.1368</v>
      </c>
      <c r="AB56" s="49">
        <f>ROUND((R56*V56*F56*O56/1000000),4)</f>
        <v>0.27360000000000001</v>
      </c>
      <c r="AC56" s="50" t="s">
        <v>200</v>
      </c>
      <c r="AD56" s="51" t="s">
        <v>153</v>
      </c>
      <c r="AE56" s="44">
        <f>ROUND((((X56*E56)/1800)*0.8),4)</f>
        <v>5.0200000000000002E-2</v>
      </c>
      <c r="AF56" s="44">
        <f>ROUND(((Z56+AA56+AB56)*0.8),4)</f>
        <v>0.7661</v>
      </c>
    </row>
    <row r="57" spans="1:32" ht="12.95" customHeight="1" x14ac:dyDescent="0.25">
      <c r="A57" s="63"/>
      <c r="B57" s="73" t="s">
        <v>212</v>
      </c>
      <c r="C57" s="53"/>
      <c r="D57" s="52"/>
      <c r="E57" s="52"/>
      <c r="F57" s="63"/>
      <c r="G57" s="52"/>
      <c r="H57" s="52"/>
      <c r="I57" s="52"/>
      <c r="J57" s="52"/>
      <c r="K57" s="52"/>
      <c r="L57" s="56"/>
      <c r="M57" s="56"/>
      <c r="N57" s="52"/>
      <c r="O57" s="52"/>
      <c r="P57" s="63"/>
      <c r="Q57" s="63"/>
      <c r="R57" s="63"/>
      <c r="S57" s="57"/>
      <c r="T57" s="54"/>
      <c r="U57" s="54"/>
      <c r="V57" s="54"/>
      <c r="W57" s="54"/>
      <c r="X57" s="54"/>
      <c r="Y57" s="54"/>
      <c r="Z57" s="54"/>
      <c r="AA57" s="54"/>
      <c r="AB57" s="54"/>
      <c r="AC57" s="50" t="s">
        <v>201</v>
      </c>
      <c r="AD57" s="51" t="s">
        <v>202</v>
      </c>
      <c r="AE57" s="44">
        <f>ROUND((((X56*E56)/1800)*0.13),4)</f>
        <v>8.2000000000000007E-3</v>
      </c>
      <c r="AF57" s="44">
        <f>ROUND(((Z56+AA56+AB56)*0.13),4)</f>
        <v>0.1245</v>
      </c>
    </row>
    <row r="58" spans="1:32" ht="12.95" customHeight="1" x14ac:dyDescent="0.25">
      <c r="A58" s="63"/>
      <c r="B58" s="64"/>
      <c r="C58" s="58"/>
      <c r="D58" s="55"/>
      <c r="E58" s="52"/>
      <c r="F58" s="63"/>
      <c r="G58" s="52"/>
      <c r="H58" s="52"/>
      <c r="I58" s="52"/>
      <c r="J58" s="52"/>
      <c r="K58" s="52"/>
      <c r="L58" s="59">
        <v>0.31</v>
      </c>
      <c r="M58" s="59">
        <v>0.38</v>
      </c>
      <c r="N58" s="52"/>
      <c r="O58" s="52"/>
      <c r="P58" s="63"/>
      <c r="Q58" s="63"/>
      <c r="R58" s="63"/>
      <c r="S58" s="60">
        <v>0.16</v>
      </c>
      <c r="T58" s="48">
        <f>ROUND((L58*I56+1.3*L58*K56+S58*H56),4)</f>
        <v>358.48950000000002</v>
      </c>
      <c r="U58" s="48">
        <f>ROUND((M58*0.9*I56+1.3*M58*0.9*K56+S58*H56),4)</f>
        <v>394.50389999999999</v>
      </c>
      <c r="V58" s="48">
        <f>ROUND((M58*I56+1.3*M58*K56+S58*H56),4)</f>
        <v>437.27100000000002</v>
      </c>
      <c r="W58" s="48">
        <f>ROUND((L58*J56+1.3*L58*N56+S58*G56),4)</f>
        <v>9.33</v>
      </c>
      <c r="X58" s="48">
        <f>ROUND((M58*0.9*J56+1.3*M58*0.9*N56+S58*G56),4)</f>
        <v>10.194000000000001</v>
      </c>
      <c r="Y58" s="48">
        <f>ROUND((M58*J56+1.3*M58*N56+S58*G56),4)</f>
        <v>11.22</v>
      </c>
      <c r="Z58" s="49">
        <f>ROUND((P56*T58*F56*O56/1000000),4)</f>
        <v>4.2999999999999997E-2</v>
      </c>
      <c r="AA58" s="49">
        <f>ROUND((Q56*U58*F56*O56/1000000),4)</f>
        <v>1.18E-2</v>
      </c>
      <c r="AB58" s="49">
        <f>ROUND((R56*V58*F56*O56/1000000),4)</f>
        <v>2.6200000000000001E-2</v>
      </c>
      <c r="AC58" s="50" t="s">
        <v>203</v>
      </c>
      <c r="AD58" s="51" t="s">
        <v>204</v>
      </c>
      <c r="AE58" s="44">
        <f>ROUND((((X58*E56)/1800)),4)</f>
        <v>5.7000000000000002E-3</v>
      </c>
      <c r="AF58" s="44">
        <f>ROUND(((Z58+AA58+AB58)),5)</f>
        <v>8.1000000000000003E-2</v>
      </c>
    </row>
    <row r="59" spans="1:32" ht="12.95" customHeight="1" x14ac:dyDescent="0.25">
      <c r="A59" s="63"/>
      <c r="B59" s="64"/>
      <c r="C59" s="53"/>
      <c r="D59" s="52"/>
      <c r="E59" s="52"/>
      <c r="F59" s="63"/>
      <c r="G59" s="52"/>
      <c r="H59" s="52"/>
      <c r="I59" s="52"/>
      <c r="J59" s="52"/>
      <c r="K59" s="52"/>
      <c r="L59" s="59">
        <v>0.71</v>
      </c>
      <c r="M59" s="59">
        <v>0.85</v>
      </c>
      <c r="N59" s="52"/>
      <c r="O59" s="52"/>
      <c r="P59" s="63"/>
      <c r="Q59" s="63"/>
      <c r="R59" s="63"/>
      <c r="S59" s="61">
        <v>0.49</v>
      </c>
      <c r="T59" s="48">
        <f>ROUND((L59*I56+1.3*L59*K56+S59*H56),4)</f>
        <v>828.46950000000004</v>
      </c>
      <c r="U59" s="48">
        <f>ROUND((M59*0.9*I56+1.3*M59*0.9*K56+S59*H56),4)</f>
        <v>890.36929999999995</v>
      </c>
      <c r="V59" s="48">
        <f>ROUND((M59*I56+1.3*M59*K56+S59*H56),4)</f>
        <v>986.03250000000003</v>
      </c>
      <c r="W59" s="48">
        <f>ROUND((L59*J56+1.3*L59*N56+S59*G56),4)</f>
        <v>22.11</v>
      </c>
      <c r="X59" s="48">
        <f>ROUND((M59*0.9*J56+1.3*M59*0.9*N56+S59*G56),4)</f>
        <v>23.594999999999999</v>
      </c>
      <c r="Y59" s="48">
        <f>ROUND((M59*J56+1.3*N56+S59*G56),4)</f>
        <v>27.84</v>
      </c>
      <c r="Z59" s="49">
        <f>ROUND((P56*T59*F56*O56/1000000),4)</f>
        <v>9.9400000000000002E-2</v>
      </c>
      <c r="AA59" s="49">
        <f>ROUND((Q56*U59*F56*O56/1000000),4)</f>
        <v>2.6700000000000002E-2</v>
      </c>
      <c r="AB59" s="49">
        <f>ROUND((R56*V59*F56*O56/1000000),4)</f>
        <v>5.9200000000000003E-2</v>
      </c>
      <c r="AC59" s="50" t="s">
        <v>205</v>
      </c>
      <c r="AD59" s="51" t="s">
        <v>206</v>
      </c>
      <c r="AE59" s="44">
        <f>ROUND((((X59*E56)/1800)),4)</f>
        <v>1.3100000000000001E-2</v>
      </c>
      <c r="AF59" s="44">
        <f>ROUND(((Z59+AA59+AB59)),4)</f>
        <v>0.18529999999999999</v>
      </c>
    </row>
    <row r="60" spans="1:32" ht="12.95" customHeight="1" x14ac:dyDescent="0.25">
      <c r="A60" s="63"/>
      <c r="B60" s="64"/>
      <c r="C60" s="53"/>
      <c r="D60" s="52"/>
      <c r="E60" s="52"/>
      <c r="F60" s="63"/>
      <c r="G60" s="52"/>
      <c r="H60" s="52"/>
      <c r="I60" s="52"/>
      <c r="J60" s="52"/>
      <c r="K60" s="52"/>
      <c r="L60" s="59">
        <v>0.45</v>
      </c>
      <c r="M60" s="59">
        <v>0.67</v>
      </c>
      <c r="N60" s="52"/>
      <c r="O60" s="52"/>
      <c r="P60" s="63"/>
      <c r="Q60" s="63"/>
      <c r="R60" s="63"/>
      <c r="S60" s="61">
        <v>0.1</v>
      </c>
      <c r="T60" s="48">
        <f>ROUND((L60*I56+1.3*L60*K56+S60*H56),4)</f>
        <v>512.45249999999999</v>
      </c>
      <c r="U60" s="48">
        <f>ROUND((M60*0.9*I56+1.3*M60*0.9*K56+S60*H56),4)</f>
        <v>684.64639999999997</v>
      </c>
      <c r="V60" s="48">
        <f>ROUND((M60*I56+1.3*M60*K56+S60*H56),4)</f>
        <v>760.05150000000003</v>
      </c>
      <c r="W60" s="48">
        <f>ROUND((L60*J56+1.3*L60*N56+S60*G56),4)</f>
        <v>12.75</v>
      </c>
      <c r="X60" s="48">
        <f>ROUND((M60*0.9*J56+1.3*M60*0.9*N56+S60*G56),4)</f>
        <v>16.881</v>
      </c>
      <c r="Y60" s="48">
        <f>ROUND((M60*J56+1.3*M60*N56+S60*G56),4)</f>
        <v>18.690000000000001</v>
      </c>
      <c r="Z60" s="49">
        <f>ROUND((P56*T60*F56*O56/1000000),4)</f>
        <v>6.1499999999999999E-2</v>
      </c>
      <c r="AA60" s="49">
        <f>ROUND((Q56*U60*F56*O56/1000000),4)</f>
        <v>2.0500000000000001E-2</v>
      </c>
      <c r="AB60" s="49">
        <f>ROUND((R56*V60*F56*O56/1000000),4)</f>
        <v>4.5600000000000002E-2</v>
      </c>
      <c r="AC60" s="50" t="s">
        <v>250</v>
      </c>
      <c r="AD60" s="51" t="s">
        <v>208</v>
      </c>
      <c r="AE60" s="44">
        <f>ROUND((((X60*E56)/1800)),4)</f>
        <v>9.4000000000000004E-3</v>
      </c>
      <c r="AF60" s="44">
        <f>ROUND(((Z60+AA60+AB60)),4)</f>
        <v>0.12759999999999999</v>
      </c>
    </row>
    <row r="61" spans="1:32" ht="12.95" customHeight="1" x14ac:dyDescent="0.25">
      <c r="A61" s="63"/>
      <c r="B61" s="72"/>
      <c r="C61" s="62"/>
      <c r="D61" s="56"/>
      <c r="E61" s="56"/>
      <c r="F61" s="66"/>
      <c r="G61" s="56"/>
      <c r="H61" s="56"/>
      <c r="I61" s="56"/>
      <c r="J61" s="56"/>
      <c r="K61" s="56"/>
      <c r="L61" s="59">
        <v>2.09</v>
      </c>
      <c r="M61" s="59">
        <v>2.5499999999999998</v>
      </c>
      <c r="N61" s="56"/>
      <c r="O61" s="56"/>
      <c r="P61" s="66"/>
      <c r="Q61" s="66"/>
      <c r="R61" s="66"/>
      <c r="S61" s="61">
        <v>3.91</v>
      </c>
      <c r="T61" s="48">
        <f>ROUND((L61*I56+1.3*L61*K56+S61*H56),4)</f>
        <v>2586.7905000000001</v>
      </c>
      <c r="U61" s="48">
        <f>ROUND((M61*0.9*I56+1.3*M61*0.9*K56+S61*H56),4)</f>
        <v>2817.5077999999999</v>
      </c>
      <c r="V61" s="48">
        <f>ROUND((M61*I56+1.3*M61*K56+S61*H56),4)</f>
        <v>3104.4974999999999</v>
      </c>
      <c r="W61" s="48">
        <f>ROUND((L61*J56+1.3*L61*N56+S61*G56),4)</f>
        <v>79.89</v>
      </c>
      <c r="X61" s="48">
        <f>ROUND((M61*0.9*J56+1.3*M61*0.9*N56+S61*G56),4)</f>
        <v>85.424999999999997</v>
      </c>
      <c r="Y61" s="48">
        <f>ROUND((M61*J56+1.3*M61*N56+S61*G56),4)</f>
        <v>92.31</v>
      </c>
      <c r="Z61" s="49">
        <f>ROUND((P56*T61*F56*O56/1000000),4)</f>
        <v>0.31040000000000001</v>
      </c>
      <c r="AA61" s="49">
        <f>ROUND((Q56*U61*F56*O56/1000000),4)</f>
        <v>8.4500000000000006E-2</v>
      </c>
      <c r="AB61" s="49">
        <f>ROUND((R56*V61*F56*O56/1000000),4)</f>
        <v>0.18629999999999999</v>
      </c>
      <c r="AC61" s="50" t="s">
        <v>170</v>
      </c>
      <c r="AD61" s="51" t="s">
        <v>162</v>
      </c>
      <c r="AE61" s="44">
        <f>ROUND((((X61*E56)/1800)),4)</f>
        <v>4.7500000000000001E-2</v>
      </c>
      <c r="AF61" s="44">
        <f>ROUND(((Z61+AA61+AB61)),4)</f>
        <v>0.58120000000000005</v>
      </c>
    </row>
    <row r="62" spans="1:32" ht="12.95" customHeight="1" x14ac:dyDescent="0.25">
      <c r="A62" s="52"/>
      <c r="B62" s="46" t="s">
        <v>211</v>
      </c>
      <c r="C62" s="46">
        <v>6</v>
      </c>
      <c r="D62" s="45" t="s">
        <v>210</v>
      </c>
      <c r="E62" s="45">
        <v>1</v>
      </c>
      <c r="F62" s="45">
        <v>3</v>
      </c>
      <c r="G62" s="45">
        <v>6</v>
      </c>
      <c r="H62" s="45">
        <v>60</v>
      </c>
      <c r="I62" s="45">
        <f>(8-1-0.75*2)*60*F62-K62-8*0.12*60</f>
        <v>288.89999999999998</v>
      </c>
      <c r="J62" s="45">
        <v>14</v>
      </c>
      <c r="K62" s="45">
        <f>(8-1-0.75*2)*0.65*60*F62</f>
        <v>643.5</v>
      </c>
      <c r="L62" s="48">
        <v>6.47</v>
      </c>
      <c r="M62" s="48">
        <v>6.47</v>
      </c>
      <c r="N62" s="45">
        <v>10</v>
      </c>
      <c r="O62" s="45">
        <f>E62/F62</f>
        <v>0.33333333333333331</v>
      </c>
      <c r="P62" s="45">
        <v>120</v>
      </c>
      <c r="Q62" s="45">
        <v>30</v>
      </c>
      <c r="R62" s="47">
        <v>60</v>
      </c>
      <c r="S62" s="47">
        <v>1.27</v>
      </c>
      <c r="T62" s="48">
        <f>ROUND((L62*I62+1.3*L62*K62+S62*H62),4)</f>
        <v>7357.8615</v>
      </c>
      <c r="U62" s="48">
        <f>ROUND((M62*I62+1.3*M62*K62+S62*H62),4)</f>
        <v>7357.8615</v>
      </c>
      <c r="V62" s="48">
        <f>ROUND((M62*I62+1.3*M62*K62+S62*H62),4)</f>
        <v>7357.8615</v>
      </c>
      <c r="W62" s="48">
        <f>ROUND((L62*J62+1.3*L62*N62+S62*G62),4)</f>
        <v>182.31</v>
      </c>
      <c r="X62" s="48">
        <f>ROUND((M62*J62+1.3*M62*N62+S62*G62),4)</f>
        <v>182.31</v>
      </c>
      <c r="Y62" s="48">
        <f>ROUND((M62*J62+1.3*M62*N62+S62*G62),4)</f>
        <v>182.31</v>
      </c>
      <c r="Z62" s="49">
        <f>ROUND((P62*T62*F62*O62/1000000),4)</f>
        <v>0.88290000000000002</v>
      </c>
      <c r="AA62" s="49">
        <f>ROUND((Q62*U62*F62*O62/1000000),4)</f>
        <v>0.22070000000000001</v>
      </c>
      <c r="AB62" s="49">
        <f>ROUND((R62*V62*F62*O62/1000000),4)</f>
        <v>0.4415</v>
      </c>
      <c r="AC62" s="50" t="s">
        <v>200</v>
      </c>
      <c r="AD62" s="51" t="s">
        <v>153</v>
      </c>
      <c r="AE62" s="44">
        <f>ROUND((((X62*E62)/1800)*0.8),4)</f>
        <v>8.1000000000000003E-2</v>
      </c>
      <c r="AF62" s="44">
        <f>ROUND(((Z62+AA62+AB62)*0.8),4)</f>
        <v>1.2361</v>
      </c>
    </row>
    <row r="63" spans="1:32" ht="12.95" customHeight="1" x14ac:dyDescent="0.25">
      <c r="A63" s="52"/>
      <c r="B63" s="53" t="s">
        <v>213</v>
      </c>
      <c r="C63" s="52"/>
      <c r="D63" s="52"/>
      <c r="E63" s="52"/>
      <c r="F63" s="63"/>
      <c r="G63" s="52"/>
      <c r="H63" s="52"/>
      <c r="I63" s="52"/>
      <c r="J63" s="52"/>
      <c r="K63" s="52"/>
      <c r="L63" s="56"/>
      <c r="M63" s="56"/>
      <c r="N63" s="52"/>
      <c r="O63" s="52"/>
      <c r="P63" s="63"/>
      <c r="Q63" s="63"/>
      <c r="R63" s="63"/>
      <c r="S63" s="57"/>
      <c r="T63" s="54"/>
      <c r="U63" s="54"/>
      <c r="V63" s="54"/>
      <c r="W63" s="54"/>
      <c r="X63" s="54"/>
      <c r="Y63" s="54"/>
      <c r="Z63" s="54"/>
      <c r="AA63" s="54"/>
      <c r="AB63" s="54"/>
      <c r="AC63" s="50" t="s">
        <v>201</v>
      </c>
      <c r="AD63" s="51" t="s">
        <v>202</v>
      </c>
      <c r="AE63" s="44">
        <f>ROUND((((X62*E62)/1800)*0.13),4)</f>
        <v>1.32E-2</v>
      </c>
      <c r="AF63" s="44">
        <f>ROUND(((Z62+AA62+AB62)*0.13),4)</f>
        <v>0.2009</v>
      </c>
    </row>
    <row r="64" spans="1:32" ht="12.95" customHeight="1" x14ac:dyDescent="0.25">
      <c r="A64" s="52"/>
      <c r="B64" s="67"/>
      <c r="C64" s="55"/>
      <c r="D64" s="55"/>
      <c r="E64" s="52"/>
      <c r="F64" s="63"/>
      <c r="G64" s="52"/>
      <c r="H64" s="52"/>
      <c r="I64" s="52"/>
      <c r="J64" s="52"/>
      <c r="K64" s="52"/>
      <c r="L64" s="59">
        <v>0.51</v>
      </c>
      <c r="M64" s="59">
        <v>0.63</v>
      </c>
      <c r="N64" s="52"/>
      <c r="O64" s="52"/>
      <c r="P64" s="63"/>
      <c r="Q64" s="63"/>
      <c r="R64" s="63"/>
      <c r="S64" s="60">
        <v>0.25</v>
      </c>
      <c r="T64" s="48">
        <f>ROUND((L64*I62+1.3*L64*K62+S64*H62),4)</f>
        <v>588.97950000000003</v>
      </c>
      <c r="U64" s="48">
        <f>ROUND((M64*0.9*I62+1.3*M64*0.9*K62+S64*H62),4)</f>
        <v>653.13019999999995</v>
      </c>
      <c r="V64" s="48">
        <f>ROUND((M64*I62+1.3*M64*K62+S64*H62),4)</f>
        <v>724.0335</v>
      </c>
      <c r="W64" s="48">
        <f>ROUND((L64*J62+1.3*L64*N62+S64*G62),4)</f>
        <v>15.27</v>
      </c>
      <c r="X64" s="48">
        <f>ROUND((M64*0.9*J62+1.3*M64*0.9*N62+S64*G62),4)</f>
        <v>16.809000000000001</v>
      </c>
      <c r="Y64" s="48">
        <f>ROUND((M64*J62+1.3*M64*N62+S64*G62),4)</f>
        <v>18.510000000000002</v>
      </c>
      <c r="Z64" s="49">
        <f>ROUND((P62*T64*F62*O62/1000000),4)</f>
        <v>7.0699999999999999E-2</v>
      </c>
      <c r="AA64" s="49">
        <f>ROUND((Q62*U64*F62*O62/1000000),4)</f>
        <v>1.9599999999999999E-2</v>
      </c>
      <c r="AB64" s="49">
        <f>ROUND((R62*V64*F62*O62/1000000),4)</f>
        <v>4.3400000000000001E-2</v>
      </c>
      <c r="AC64" s="50" t="s">
        <v>203</v>
      </c>
      <c r="AD64" s="51" t="s">
        <v>204</v>
      </c>
      <c r="AE64" s="44">
        <f>ROUND((((X64*E62)/1800)),4)</f>
        <v>9.2999999999999992E-3</v>
      </c>
      <c r="AF64" s="44">
        <f>ROUND(((Z64+AA64+AB64)),5)</f>
        <v>0.13370000000000001</v>
      </c>
    </row>
    <row r="65" spans="1:32" ht="12.95" customHeight="1" x14ac:dyDescent="0.25">
      <c r="A65" s="52"/>
      <c r="B65" s="53"/>
      <c r="C65" s="52"/>
      <c r="D65" s="52"/>
      <c r="E65" s="52"/>
      <c r="F65" s="63"/>
      <c r="G65" s="52"/>
      <c r="H65" s="52"/>
      <c r="I65" s="52"/>
      <c r="J65" s="52"/>
      <c r="K65" s="52"/>
      <c r="L65" s="59">
        <v>1.1399999999999999</v>
      </c>
      <c r="M65" s="59">
        <v>1.37</v>
      </c>
      <c r="N65" s="52"/>
      <c r="O65" s="52"/>
      <c r="P65" s="63"/>
      <c r="Q65" s="63"/>
      <c r="R65" s="63"/>
      <c r="S65" s="61">
        <v>0.79</v>
      </c>
      <c r="T65" s="48">
        <f>ROUND((L65*I62+1.3*L65*K62+S65*H62),4)</f>
        <v>1330.413</v>
      </c>
      <c r="U65" s="48">
        <f>ROUND((M65*0.9*I62+1.3*M65*0.9*K62+S65*H62),4)</f>
        <v>1435.0799</v>
      </c>
      <c r="V65" s="48">
        <f>ROUND((M65*I62+1.3*M65*K62+S65*H62),4)</f>
        <v>1589.2665</v>
      </c>
      <c r="W65" s="48">
        <f>ROUND((L65*J62+1.3*L65*N62+S65*G62),4)</f>
        <v>35.520000000000003</v>
      </c>
      <c r="X65" s="48">
        <f>ROUND((M65*0.9*J62+1.3*M65*0.9*N62+S65*G62),4)</f>
        <v>38.030999999999999</v>
      </c>
      <c r="Y65" s="48">
        <f>ROUND((M65*J62+1.3*N62+S65*G62),4)</f>
        <v>36.92</v>
      </c>
      <c r="Z65" s="49">
        <f>ROUND((P62*T65*F62*O62/1000000),4)</f>
        <v>0.15959999999999999</v>
      </c>
      <c r="AA65" s="49">
        <f>ROUND((Q62*U65*F62*O62/1000000),4)</f>
        <v>4.3099999999999999E-2</v>
      </c>
      <c r="AB65" s="49">
        <f>ROUND((R62*V65*F62*O62/1000000),4)</f>
        <v>9.5399999999999999E-2</v>
      </c>
      <c r="AC65" s="50" t="s">
        <v>205</v>
      </c>
      <c r="AD65" s="51" t="s">
        <v>206</v>
      </c>
      <c r="AE65" s="44">
        <f>ROUND((((X65*E62)/1800)),4)</f>
        <v>2.1100000000000001E-2</v>
      </c>
      <c r="AF65" s="44">
        <f>ROUND(((Z65+AA65+AB65)),4)</f>
        <v>0.29809999999999998</v>
      </c>
    </row>
    <row r="66" spans="1:32" ht="12.95" customHeight="1" x14ac:dyDescent="0.25">
      <c r="A66" s="52"/>
      <c r="B66" s="53"/>
      <c r="C66" s="52"/>
      <c r="D66" s="52"/>
      <c r="E66" s="52"/>
      <c r="F66" s="63"/>
      <c r="G66" s="52"/>
      <c r="H66" s="52"/>
      <c r="I66" s="52"/>
      <c r="J66" s="52"/>
      <c r="K66" s="52"/>
      <c r="L66" s="59">
        <v>0.72</v>
      </c>
      <c r="M66" s="59">
        <v>1.08</v>
      </c>
      <c r="N66" s="52"/>
      <c r="O66" s="52"/>
      <c r="P66" s="63"/>
      <c r="Q66" s="63"/>
      <c r="R66" s="63"/>
      <c r="S66" s="61">
        <v>0.17</v>
      </c>
      <c r="T66" s="48">
        <f>ROUND((L66*I62+1.3*L66*K62+S66*H62),4)</f>
        <v>820.524</v>
      </c>
      <c r="U66" s="48">
        <f>ROUND((M66*0.9*I62+1.3*M66*0.9*K62+S66*H62),4)</f>
        <v>1104.1374000000001</v>
      </c>
      <c r="V66" s="48">
        <f>ROUND((M66*I62+1.3*M66*K62+S66*H62),4)</f>
        <v>1225.6859999999999</v>
      </c>
      <c r="W66" s="48">
        <f>ROUND((L66*J62+1.3*L66*N62+S66*G62),4)</f>
        <v>20.46</v>
      </c>
      <c r="X66" s="48">
        <f>ROUND((M66*0.9*J62+1.3*M66*0.9*N62+S66*G62),4)</f>
        <v>27.263999999999999</v>
      </c>
      <c r="Y66" s="48">
        <f>ROUND((M66*J62+1.3*M66*N62+S66*G62),4)</f>
        <v>30.18</v>
      </c>
      <c r="Z66" s="49">
        <f>ROUND((P62*T66*F62*O62/1000000),4)</f>
        <v>9.8500000000000004E-2</v>
      </c>
      <c r="AA66" s="49">
        <f>ROUND((Q62*U66*F62*O62/1000000),4)</f>
        <v>3.3099999999999997E-2</v>
      </c>
      <c r="AB66" s="49">
        <f>ROUND((R62*V66*F62*O62/1000000),4)</f>
        <v>7.3499999999999996E-2</v>
      </c>
      <c r="AC66" s="50" t="s">
        <v>250</v>
      </c>
      <c r="AD66" s="51" t="s">
        <v>208</v>
      </c>
      <c r="AE66" s="44">
        <f>ROUND((((X66*E62)/1800)),4)</f>
        <v>1.5100000000000001E-2</v>
      </c>
      <c r="AF66" s="44">
        <f>ROUND(((Z66+AA66+AB66)),4)</f>
        <v>0.2051</v>
      </c>
    </row>
    <row r="67" spans="1:32" ht="12.95" customHeight="1" x14ac:dyDescent="0.25">
      <c r="A67" s="52"/>
      <c r="B67" s="62"/>
      <c r="C67" s="56"/>
      <c r="D67" s="56"/>
      <c r="E67" s="56"/>
      <c r="F67" s="66"/>
      <c r="G67" s="56"/>
      <c r="H67" s="56"/>
      <c r="I67" s="56"/>
      <c r="J67" s="56"/>
      <c r="K67" s="56"/>
      <c r="L67" s="59">
        <v>3.37</v>
      </c>
      <c r="M67" s="59">
        <v>4.1100000000000003</v>
      </c>
      <c r="N67" s="56"/>
      <c r="O67" s="56"/>
      <c r="P67" s="66"/>
      <c r="Q67" s="66"/>
      <c r="R67" s="66"/>
      <c r="S67" s="61">
        <v>6.31</v>
      </c>
      <c r="T67" s="48">
        <f>ROUND((L67*I62+1.3*L67*K62+S67*H62),4)</f>
        <v>4171.3665000000001</v>
      </c>
      <c r="U67" s="48">
        <f>ROUND((M67*0.9*I62+1.3*M67*0.9*K62+S67*H62),4)</f>
        <v>4541.6396000000004</v>
      </c>
      <c r="V67" s="48">
        <f>ROUND((M67*I62+1.3*M67*K62+S67*H62),4)</f>
        <v>5004.1994999999997</v>
      </c>
      <c r="W67" s="48">
        <f>ROUND((L67*J62+1.3*L67*N62+S67*G62),4)</f>
        <v>128.85</v>
      </c>
      <c r="X67" s="48">
        <f>ROUND((M67*0.9*J62+1.3*M67*0.9*N62+S67*G62),4)</f>
        <v>137.733</v>
      </c>
      <c r="Y67" s="48">
        <f>ROUND((M67*J62+1.3*M67*N62+S67*G62),4)</f>
        <v>148.83000000000001</v>
      </c>
      <c r="Z67" s="49">
        <f>ROUND((P62*T67*F62*O62/1000000),4)</f>
        <v>0.50060000000000004</v>
      </c>
      <c r="AA67" s="49">
        <f>ROUND((Q62*U67*F62*O62/1000000),4)</f>
        <v>0.13619999999999999</v>
      </c>
      <c r="AB67" s="49">
        <f>ROUND((R62*V67*F62*O62/1000000),4)</f>
        <v>0.30030000000000001</v>
      </c>
      <c r="AC67" s="50" t="s">
        <v>170</v>
      </c>
      <c r="AD67" s="51" t="s">
        <v>162</v>
      </c>
      <c r="AE67" s="44">
        <f>ROUND((((X67*E62)/1800)),4)</f>
        <v>7.6499999999999999E-2</v>
      </c>
      <c r="AF67" s="44">
        <f>ROUND(((Z67+AA67+AB67)),4)</f>
        <v>0.93710000000000004</v>
      </c>
    </row>
    <row r="68" spans="1:32" ht="12.95" customHeight="1" x14ac:dyDescent="0.25">
      <c r="A68" s="52"/>
      <c r="B68" s="67" t="s">
        <v>214</v>
      </c>
      <c r="C68" s="46">
        <v>6</v>
      </c>
      <c r="D68" s="45" t="s">
        <v>210</v>
      </c>
      <c r="E68" s="45">
        <v>1</v>
      </c>
      <c r="F68" s="45">
        <v>4</v>
      </c>
      <c r="G68" s="45">
        <v>6</v>
      </c>
      <c r="H68" s="45">
        <v>60</v>
      </c>
      <c r="I68" s="45">
        <f>(8-1-0.75*2)*60*F68-K68-8*0.12*60</f>
        <v>404.4</v>
      </c>
      <c r="J68" s="45">
        <v>14</v>
      </c>
      <c r="K68" s="45">
        <f>(8-1-0.75*2)*0.65*60*F68</f>
        <v>858</v>
      </c>
      <c r="L68" s="48">
        <v>6.47</v>
      </c>
      <c r="M68" s="48">
        <v>6.47</v>
      </c>
      <c r="N68" s="45">
        <v>10</v>
      </c>
      <c r="O68" s="45">
        <f>E68/F68</f>
        <v>0.25</v>
      </c>
      <c r="P68" s="45">
        <v>120</v>
      </c>
      <c r="Q68" s="45">
        <v>30</v>
      </c>
      <c r="R68" s="47">
        <v>0</v>
      </c>
      <c r="S68" s="47">
        <v>1.27</v>
      </c>
      <c r="T68" s="48">
        <f>ROUND((L68*I68+1.3*L68*K68+S68*H68),4)</f>
        <v>9909.3060000000005</v>
      </c>
      <c r="U68" s="48">
        <f>ROUND((M68*I68+1.3*M68*K68+S68*H68),4)</f>
        <v>9909.3060000000005</v>
      </c>
      <c r="V68" s="48">
        <f>ROUND((M68*I68+1.3*M68*K68+S68*H68),4)</f>
        <v>9909.3060000000005</v>
      </c>
      <c r="W68" s="48">
        <f>ROUND((L68*J68+1.3*L68*N68+S68*G68),4)</f>
        <v>182.31</v>
      </c>
      <c r="X68" s="48">
        <f>ROUND((M68*J68+1.3*M68*N68+S68*G68),4)</f>
        <v>182.31</v>
      </c>
      <c r="Y68" s="48">
        <f>ROUND((M68*J68+1.3*M68*N68+S68*G68),4)</f>
        <v>182.31</v>
      </c>
      <c r="Z68" s="49">
        <f>ROUND((P68*T68*F68*O68/1000000),4)</f>
        <v>1.1891</v>
      </c>
      <c r="AA68" s="49">
        <f>ROUND((Q68*U68*F68*O68/1000000),4)</f>
        <v>0.29730000000000001</v>
      </c>
      <c r="AB68" s="49">
        <f>ROUND((R68*V68*F68*O68/1000000),4)</f>
        <v>0</v>
      </c>
      <c r="AC68" s="50" t="s">
        <v>200</v>
      </c>
      <c r="AD68" s="51" t="s">
        <v>153</v>
      </c>
      <c r="AE68" s="44">
        <f>ROUND((((X68*E68)/1800)*0.8),4)</f>
        <v>8.1000000000000003E-2</v>
      </c>
      <c r="AF68" s="44">
        <f>ROUND(((Z68+AA68+AB68)*0.8),4)</f>
        <v>1.1891</v>
      </c>
    </row>
    <row r="69" spans="1:32" ht="12.95" customHeight="1" x14ac:dyDescent="0.25">
      <c r="A69" s="52"/>
      <c r="B69" s="53" t="s">
        <v>215</v>
      </c>
      <c r="C69" s="52"/>
      <c r="D69" s="52"/>
      <c r="E69" s="52"/>
      <c r="F69" s="63"/>
      <c r="G69" s="52"/>
      <c r="H69" s="52"/>
      <c r="I69" s="52"/>
      <c r="J69" s="52"/>
      <c r="K69" s="52"/>
      <c r="L69" s="56"/>
      <c r="M69" s="56"/>
      <c r="N69" s="90"/>
      <c r="O69" s="90"/>
      <c r="P69" s="52"/>
      <c r="Q69" s="52"/>
      <c r="R69" s="52"/>
      <c r="S69" s="57"/>
      <c r="T69" s="54"/>
      <c r="U69" s="54"/>
      <c r="V69" s="54"/>
      <c r="W69" s="54"/>
      <c r="X69" s="54"/>
      <c r="Y69" s="54"/>
      <c r="Z69" s="54"/>
      <c r="AA69" s="54"/>
      <c r="AB69" s="54"/>
      <c r="AC69" s="50" t="s">
        <v>201</v>
      </c>
      <c r="AD69" s="51" t="s">
        <v>202</v>
      </c>
      <c r="AE69" s="44">
        <f>ROUND((((X68*E68)/1800)*0.13),4)</f>
        <v>1.32E-2</v>
      </c>
      <c r="AF69" s="44">
        <f>ROUND(((Z68+AA68+AB68)*0.13),4)</f>
        <v>0.19320000000000001</v>
      </c>
    </row>
    <row r="70" spans="1:32" ht="12.95" customHeight="1" x14ac:dyDescent="0.25">
      <c r="A70" s="52"/>
      <c r="B70" s="88"/>
      <c r="C70" s="55"/>
      <c r="D70" s="55"/>
      <c r="E70" s="52"/>
      <c r="F70" s="63"/>
      <c r="G70" s="52"/>
      <c r="H70" s="52"/>
      <c r="I70" s="52"/>
      <c r="J70" s="52"/>
      <c r="K70" s="52"/>
      <c r="L70" s="59">
        <v>0.51</v>
      </c>
      <c r="M70" s="59">
        <v>0.63</v>
      </c>
      <c r="N70" s="52"/>
      <c r="O70" s="52"/>
      <c r="P70" s="52"/>
      <c r="Q70" s="52"/>
      <c r="R70" s="52"/>
      <c r="S70" s="60">
        <v>0.25</v>
      </c>
      <c r="T70" s="48">
        <f>ROUND((L70*I68+1.3*L70*K68+S70*H68),4)</f>
        <v>790.09799999999996</v>
      </c>
      <c r="U70" s="48">
        <f>ROUND((M70*0.9*I68+1.3*M70*0.9*K68+S70*H68),4)</f>
        <v>876.72659999999996</v>
      </c>
      <c r="V70" s="48">
        <f>ROUND((M70*I68+1.3*M70*K68+S70*H68),4)</f>
        <v>972.47400000000005</v>
      </c>
      <c r="W70" s="48">
        <f>ROUND((L70*J68+1.3*L70*N68+S70*G68),4)</f>
        <v>15.27</v>
      </c>
      <c r="X70" s="48">
        <f>ROUND((M70*0.9*J68+1.3*M70*0.9*N68+S70*G68),4)</f>
        <v>16.809000000000001</v>
      </c>
      <c r="Y70" s="48">
        <f>ROUND((M70*J68+1.3*M70*N68+S70*G68),4)</f>
        <v>18.510000000000002</v>
      </c>
      <c r="Z70" s="49">
        <f>ROUND((P68*T70*F68*O68/1000000),4)</f>
        <v>9.4799999999999995E-2</v>
      </c>
      <c r="AA70" s="49">
        <f>ROUND((Q68*U70*F68*O68/1000000),4)</f>
        <v>2.63E-2</v>
      </c>
      <c r="AB70" s="49">
        <f>ROUND((R68*V70*F68*O68/1000000),4)</f>
        <v>0</v>
      </c>
      <c r="AC70" s="50" t="s">
        <v>203</v>
      </c>
      <c r="AD70" s="51" t="s">
        <v>204</v>
      </c>
      <c r="AE70" s="44">
        <f>ROUND((((X70*E68)/1800)),4)</f>
        <v>9.2999999999999992E-3</v>
      </c>
      <c r="AF70" s="44">
        <f>ROUND(((Z70+AA70+AB70)),5)</f>
        <v>0.1211</v>
      </c>
    </row>
    <row r="71" spans="1:32" ht="12.95" customHeight="1" x14ac:dyDescent="0.25">
      <c r="A71" s="52"/>
      <c r="B71" s="88"/>
      <c r="C71" s="52"/>
      <c r="D71" s="52"/>
      <c r="E71" s="52"/>
      <c r="F71" s="63"/>
      <c r="G71" s="52"/>
      <c r="H71" s="52"/>
      <c r="I71" s="52"/>
      <c r="J71" s="52"/>
      <c r="K71" s="52"/>
      <c r="L71" s="59">
        <v>1.1399999999999999</v>
      </c>
      <c r="M71" s="59">
        <v>1.37</v>
      </c>
      <c r="N71" s="52"/>
      <c r="O71" s="52"/>
      <c r="P71" s="52"/>
      <c r="Q71" s="52"/>
      <c r="R71" s="52"/>
      <c r="S71" s="61">
        <v>0.79</v>
      </c>
      <c r="T71" s="48">
        <f>ROUND((L71*I68+1.3*L71*K68+S71*H68),4)</f>
        <v>1779.972</v>
      </c>
      <c r="U71" s="48">
        <f>ROUND((M71*0.9*I68+1.3*M71*0.9*K68+S71*H68),4)</f>
        <v>1921.3134</v>
      </c>
      <c r="V71" s="48">
        <f>ROUND((M71*I68+1.3*M71*K68+S71*H68),4)</f>
        <v>2129.5259999999998</v>
      </c>
      <c r="W71" s="48">
        <f>ROUND((L71*J68+1.3*L71*N68+S71*G68),4)</f>
        <v>35.520000000000003</v>
      </c>
      <c r="X71" s="48">
        <f>ROUND((M71*0.9*J68+1.3*M71*0.9*N68+S71*G68),4)</f>
        <v>38.030999999999999</v>
      </c>
      <c r="Y71" s="48">
        <f>ROUND((M71*J68+1.3*N68+S71*G68),4)</f>
        <v>36.92</v>
      </c>
      <c r="Z71" s="49">
        <f>ROUND((P68*T71*F68*O68/1000000),4)</f>
        <v>0.21360000000000001</v>
      </c>
      <c r="AA71" s="49">
        <f>ROUND((Q68*U71*F68*O68/1000000),4)</f>
        <v>5.7599999999999998E-2</v>
      </c>
      <c r="AB71" s="49">
        <f>ROUND((R68*V71*F68*O68/1000000),4)</f>
        <v>0</v>
      </c>
      <c r="AC71" s="50" t="s">
        <v>205</v>
      </c>
      <c r="AD71" s="51" t="s">
        <v>206</v>
      </c>
      <c r="AE71" s="44">
        <f>ROUND((((X71*E68)/1800)),4)</f>
        <v>2.1100000000000001E-2</v>
      </c>
      <c r="AF71" s="44">
        <f>ROUND(((Z71+AA71+AB71)),4)</f>
        <v>0.2712</v>
      </c>
    </row>
    <row r="72" spans="1:32" ht="12.95" customHeight="1" x14ac:dyDescent="0.25">
      <c r="A72" s="52"/>
      <c r="B72" s="53"/>
      <c r="C72" s="52"/>
      <c r="D72" s="52"/>
      <c r="E72" s="52"/>
      <c r="F72" s="63"/>
      <c r="G72" s="52"/>
      <c r="H72" s="52"/>
      <c r="I72" s="52"/>
      <c r="J72" s="52"/>
      <c r="K72" s="52"/>
      <c r="L72" s="59">
        <v>0.72</v>
      </c>
      <c r="M72" s="59">
        <v>1.08</v>
      </c>
      <c r="N72" s="52"/>
      <c r="O72" s="52"/>
      <c r="P72" s="52"/>
      <c r="Q72" s="52"/>
      <c r="R72" s="52"/>
      <c r="S72" s="61">
        <v>0.17</v>
      </c>
      <c r="T72" s="48">
        <f>ROUND((L72*I68+1.3*L72*K68+S72*H68),4)</f>
        <v>1104.4559999999999</v>
      </c>
      <c r="U72" s="48">
        <f>ROUND((M72*0.9*I68+1.3*M72*0.9*K68+S72*H68),4)</f>
        <v>1487.4456</v>
      </c>
      <c r="V72" s="48">
        <f>ROUND((M72*I68+1.3*M72*K68+S72*H68),4)</f>
        <v>1651.5840000000001</v>
      </c>
      <c r="W72" s="48">
        <f>ROUND((L72*J68+1.3*L72*N68+S72*G68),4)</f>
        <v>20.46</v>
      </c>
      <c r="X72" s="48">
        <f>ROUND((M72*0.9*J68+1.3*M72*0.9*N68+S72*G68),4)</f>
        <v>27.263999999999999</v>
      </c>
      <c r="Y72" s="48">
        <f>ROUND((M72*J68+1.3*M72*N68+S72*G68),4)</f>
        <v>30.18</v>
      </c>
      <c r="Z72" s="49">
        <f>ROUND((P68*T72*F68*O68/1000000),4)</f>
        <v>0.13250000000000001</v>
      </c>
      <c r="AA72" s="49">
        <f>ROUND((Q68*U72*F68*O68/1000000),4)</f>
        <v>4.4600000000000001E-2</v>
      </c>
      <c r="AB72" s="49">
        <f>ROUND((R68*V72*F68*O68/1000000),4)</f>
        <v>0</v>
      </c>
      <c r="AC72" s="50" t="s">
        <v>250</v>
      </c>
      <c r="AD72" s="51" t="s">
        <v>208</v>
      </c>
      <c r="AE72" s="44">
        <f>ROUND((((X72*E68)/1800)),4)</f>
        <v>1.5100000000000001E-2</v>
      </c>
      <c r="AF72" s="44">
        <f>ROUND(((Z72+AA72+AB72)),4)</f>
        <v>0.17710000000000001</v>
      </c>
    </row>
    <row r="73" spans="1:32" ht="12.95" customHeight="1" x14ac:dyDescent="0.25">
      <c r="A73" s="52"/>
      <c r="B73" s="62"/>
      <c r="C73" s="56"/>
      <c r="D73" s="56"/>
      <c r="E73" s="56"/>
      <c r="F73" s="66"/>
      <c r="G73" s="56"/>
      <c r="H73" s="56"/>
      <c r="I73" s="56"/>
      <c r="J73" s="56"/>
      <c r="K73" s="56"/>
      <c r="L73" s="59">
        <v>3.37</v>
      </c>
      <c r="M73" s="59">
        <v>4.1100000000000003</v>
      </c>
      <c r="N73" s="56"/>
      <c r="O73" s="56"/>
      <c r="P73" s="56"/>
      <c r="Q73" s="56"/>
      <c r="R73" s="56"/>
      <c r="S73" s="61">
        <v>6.31</v>
      </c>
      <c r="T73" s="48">
        <f>ROUND((L73*I68+1.3*L73*K68+S73*H68),4)</f>
        <v>5500.326</v>
      </c>
      <c r="U73" s="48">
        <f>ROUND((M73*0.9*I68+1.3*M73*0.9*K68+S73*H68),4)</f>
        <v>6000.3401999999996</v>
      </c>
      <c r="V73" s="48">
        <f>ROUND((M73*I68+1.3*M73*K68+S73*H68),4)</f>
        <v>6624.9780000000001</v>
      </c>
      <c r="W73" s="48">
        <f>ROUND((L73*J68+1.3*L73*N68+S73*G68),4)</f>
        <v>128.85</v>
      </c>
      <c r="X73" s="48">
        <f>ROUND((M73*0.9*J68+1.3*M73*0.9*N68+S73*G68),4)</f>
        <v>137.733</v>
      </c>
      <c r="Y73" s="48">
        <f>ROUND((M73*J68+1.3*M73*N68+S73*G68),4)</f>
        <v>148.83000000000001</v>
      </c>
      <c r="Z73" s="49">
        <f>ROUND((P68*T73*F68*O68/1000000),4)</f>
        <v>0.66</v>
      </c>
      <c r="AA73" s="49">
        <f>ROUND((Q68*U73*F68*O68/1000000),4)</f>
        <v>0.18</v>
      </c>
      <c r="AB73" s="49">
        <f>ROUND((R68*V73*F68*O68/1000000),4)</f>
        <v>0</v>
      </c>
      <c r="AC73" s="50" t="s">
        <v>170</v>
      </c>
      <c r="AD73" s="51" t="s">
        <v>162</v>
      </c>
      <c r="AE73" s="44">
        <f>ROUND((((X73*E68)/1800)),4)</f>
        <v>7.6499999999999999E-2</v>
      </c>
      <c r="AF73" s="44">
        <f>ROUND(((Z73+AA73+AB73)),4)</f>
        <v>0.84</v>
      </c>
    </row>
    <row r="74" spans="1:32" ht="12.95" customHeight="1" x14ac:dyDescent="0.25">
      <c r="A74" s="52"/>
      <c r="B74" s="67" t="s">
        <v>214</v>
      </c>
      <c r="C74" s="46">
        <v>7</v>
      </c>
      <c r="D74" s="45" t="s">
        <v>217</v>
      </c>
      <c r="E74" s="45">
        <v>1</v>
      </c>
      <c r="F74" s="45">
        <v>4</v>
      </c>
      <c r="G74" s="45">
        <v>6</v>
      </c>
      <c r="H74" s="45">
        <v>60</v>
      </c>
      <c r="I74" s="45">
        <f>(8-1-0.75*2)*60*F74-K74-8*0.12*60</f>
        <v>404.4</v>
      </c>
      <c r="J74" s="45">
        <v>14</v>
      </c>
      <c r="K74" s="45">
        <f>(8-1-0.75*2)*0.65*60*F74</f>
        <v>858</v>
      </c>
      <c r="L74" s="48">
        <v>10.16</v>
      </c>
      <c r="M74" s="48">
        <v>10.16</v>
      </c>
      <c r="N74" s="45">
        <v>10</v>
      </c>
      <c r="O74" s="45">
        <f>E74/F74</f>
        <v>0.25</v>
      </c>
      <c r="P74" s="45">
        <v>120</v>
      </c>
      <c r="Q74" s="45">
        <v>30</v>
      </c>
      <c r="R74" s="47">
        <v>0</v>
      </c>
      <c r="S74" s="47">
        <v>1.99</v>
      </c>
      <c r="T74" s="48">
        <f>ROUND((L74*I74+1.3*L74*K74+S74*H74),4)</f>
        <v>15560.567999999999</v>
      </c>
      <c r="U74" s="48">
        <f>ROUND((M74*I74+1.3*M74*K74+S74*H74),4)</f>
        <v>15560.567999999999</v>
      </c>
      <c r="V74" s="48">
        <f>ROUND((M74*I74+1.3*M74*K74+S74*H74),4)</f>
        <v>15560.567999999999</v>
      </c>
      <c r="W74" s="48">
        <f>ROUND((L74*J74+1.3*L74*N74+S74*G74),4)</f>
        <v>286.26</v>
      </c>
      <c r="X74" s="48">
        <f>ROUND((M74*J74+1.3*M74*N74+S74*G74),4)</f>
        <v>286.26</v>
      </c>
      <c r="Y74" s="48">
        <f>ROUND((M74*J74+1.3*M74*N74+S74*G74),4)</f>
        <v>286.26</v>
      </c>
      <c r="Z74" s="49">
        <f>ROUND((P74*T74*F74*O74/1000000),4)</f>
        <v>1.8673</v>
      </c>
      <c r="AA74" s="49">
        <f>ROUND((Q74*U74*F74*O74/1000000),4)</f>
        <v>0.46679999999999999</v>
      </c>
      <c r="AB74" s="49">
        <f>ROUND((R74*V74*F74*O74/1000000),4)</f>
        <v>0</v>
      </c>
      <c r="AC74" s="50" t="s">
        <v>200</v>
      </c>
      <c r="AD74" s="51" t="s">
        <v>153</v>
      </c>
      <c r="AE74" s="44">
        <f>ROUND((((X74*E74)/1800)*0.8),4)</f>
        <v>0.12720000000000001</v>
      </c>
      <c r="AF74" s="44">
        <f>ROUND(((Z74+AA74+AB74)*0.8),4)</f>
        <v>1.8673</v>
      </c>
    </row>
    <row r="75" spans="1:32" ht="12.95" customHeight="1" x14ac:dyDescent="0.25">
      <c r="A75" s="52"/>
      <c r="B75" s="53" t="s">
        <v>216</v>
      </c>
      <c r="C75" s="52"/>
      <c r="D75" s="52"/>
      <c r="E75" s="52"/>
      <c r="F75" s="63"/>
      <c r="G75" s="52"/>
      <c r="H75" s="52"/>
      <c r="I75" s="52"/>
      <c r="J75" s="52"/>
      <c r="K75" s="52"/>
      <c r="L75" s="56"/>
      <c r="M75" s="56"/>
      <c r="N75" s="52"/>
      <c r="O75" s="52"/>
      <c r="P75" s="52"/>
      <c r="Q75" s="52"/>
      <c r="R75" s="52"/>
      <c r="S75" s="57"/>
      <c r="T75" s="54"/>
      <c r="U75" s="54"/>
      <c r="V75" s="54"/>
      <c r="W75" s="54"/>
      <c r="X75" s="54"/>
      <c r="Y75" s="54"/>
      <c r="Z75" s="54"/>
      <c r="AA75" s="54"/>
      <c r="AB75" s="54"/>
      <c r="AC75" s="50" t="s">
        <v>201</v>
      </c>
      <c r="AD75" s="51" t="s">
        <v>202</v>
      </c>
      <c r="AE75" s="44">
        <f>ROUND((((X74*E74)/1800)*0.13),4)</f>
        <v>2.07E-2</v>
      </c>
      <c r="AF75" s="44">
        <f>ROUND(((Z74+AA74+AB74)*0.13),4)</f>
        <v>0.3034</v>
      </c>
    </row>
    <row r="76" spans="1:32" ht="12.95" customHeight="1" x14ac:dyDescent="0.25">
      <c r="A76" s="52"/>
      <c r="B76" s="88"/>
      <c r="C76" s="55"/>
      <c r="D76" s="55"/>
      <c r="E76" s="52"/>
      <c r="F76" s="63"/>
      <c r="G76" s="52"/>
      <c r="H76" s="52"/>
      <c r="I76" s="52"/>
      <c r="J76" s="52"/>
      <c r="K76" s="52"/>
      <c r="L76" s="59">
        <v>0.8</v>
      </c>
      <c r="M76" s="59">
        <v>0.98</v>
      </c>
      <c r="N76" s="52"/>
      <c r="O76" s="52"/>
      <c r="P76" s="52"/>
      <c r="Q76" s="52"/>
      <c r="R76" s="52"/>
      <c r="S76" s="60">
        <v>0.39</v>
      </c>
      <c r="T76" s="48">
        <f>ROUND((L76*I74+1.3*L76*K74+S76*H74),4)</f>
        <v>1239.24</v>
      </c>
      <c r="U76" s="48">
        <f>ROUND((M76*0.9*I74+1.3*M76*0.9*K74+S76*H74),4)</f>
        <v>1363.8635999999999</v>
      </c>
      <c r="V76" s="48">
        <f>ROUND((M76*I74+1.3*M76*K74+S76*H74),4)</f>
        <v>1512.8040000000001</v>
      </c>
      <c r="W76" s="48">
        <f>ROUND((L76*J74+1.3*L76*N74+S76*G74),4)</f>
        <v>23.94</v>
      </c>
      <c r="X76" s="48">
        <f>ROUND((M76*0.9*J74+1.3*M76*0.9*N74+S76*G74),4)</f>
        <v>26.154</v>
      </c>
      <c r="Y76" s="48">
        <f>ROUND((M76*J74+1.3*M76*N74+S76*G74),4)</f>
        <v>28.8</v>
      </c>
      <c r="Z76" s="49">
        <f>ROUND((P74*T76*F74*O74/1000000),4)</f>
        <v>0.1487</v>
      </c>
      <c r="AA76" s="49">
        <f>ROUND((Q74*U76*F74*O74/1000000),4)</f>
        <v>4.0899999999999999E-2</v>
      </c>
      <c r="AB76" s="49">
        <f>ROUND((R74*V76*F74*O74/1000000),4)</f>
        <v>0</v>
      </c>
      <c r="AC76" s="50" t="s">
        <v>203</v>
      </c>
      <c r="AD76" s="51" t="s">
        <v>204</v>
      </c>
      <c r="AE76" s="44">
        <f>ROUND((((X76*E74)/1800)),4)</f>
        <v>1.4500000000000001E-2</v>
      </c>
      <c r="AF76" s="44">
        <f>ROUND(((Z76+AA76+AB76)),5)</f>
        <v>0.18959999999999999</v>
      </c>
    </row>
    <row r="77" spans="1:32" ht="12.95" customHeight="1" x14ac:dyDescent="0.25">
      <c r="A77" s="52"/>
      <c r="B77" s="88"/>
      <c r="C77" s="52"/>
      <c r="D77" s="52"/>
      <c r="E77" s="52"/>
      <c r="F77" s="63"/>
      <c r="G77" s="52"/>
      <c r="H77" s="52"/>
      <c r="I77" s="52"/>
      <c r="J77" s="52"/>
      <c r="K77" s="52"/>
      <c r="L77" s="59">
        <v>1.79</v>
      </c>
      <c r="M77" s="59">
        <v>2.15</v>
      </c>
      <c r="N77" s="52"/>
      <c r="O77" s="52"/>
      <c r="P77" s="52"/>
      <c r="Q77" s="52"/>
      <c r="R77" s="52"/>
      <c r="S77" s="61">
        <v>1.24</v>
      </c>
      <c r="T77" s="48">
        <f>ROUND((L77*I74+1.3*L77*K74+S77*H74),4)</f>
        <v>2794.8420000000001</v>
      </c>
      <c r="U77" s="48">
        <f>ROUND((M77*0.9*I74+1.3*M77*0.9*K74+S77*H74),4)</f>
        <v>3015.2130000000002</v>
      </c>
      <c r="V77" s="48">
        <f>ROUND((M77*I74+1.3*M77*K74+S77*H74),4)</f>
        <v>3341.97</v>
      </c>
      <c r="W77" s="48">
        <f>ROUND((L77*J74+1.3*L77*N74+S77*G74),4)</f>
        <v>55.77</v>
      </c>
      <c r="X77" s="48">
        <f>ROUND((M77*0.9*J74+1.3*M77*0.9*N74+S77*G74),4)</f>
        <v>59.685000000000002</v>
      </c>
      <c r="Y77" s="48">
        <f>ROUND((M77*J74+1.3*N74+S77*G74),4)</f>
        <v>50.54</v>
      </c>
      <c r="Z77" s="49">
        <f>ROUND((P74*T77*F74*O74/1000000),4)</f>
        <v>0.33539999999999998</v>
      </c>
      <c r="AA77" s="49">
        <f>ROUND((Q74*U77*F74*O74/1000000),4)</f>
        <v>9.0499999999999997E-2</v>
      </c>
      <c r="AB77" s="49">
        <f>ROUND((R74*V77*F74*O74/1000000),4)</f>
        <v>0</v>
      </c>
      <c r="AC77" s="50" t="s">
        <v>205</v>
      </c>
      <c r="AD77" s="51" t="s">
        <v>206</v>
      </c>
      <c r="AE77" s="44">
        <f>ROUND((((X77*E74)/1800)),4)</f>
        <v>3.32E-2</v>
      </c>
      <c r="AF77" s="44">
        <f>ROUND(((Z77+AA77+AB77)),4)</f>
        <v>0.4259</v>
      </c>
    </row>
    <row r="78" spans="1:32" ht="12.95" customHeight="1" x14ac:dyDescent="0.25">
      <c r="A78" s="52"/>
      <c r="B78" s="53"/>
      <c r="C78" s="52"/>
      <c r="D78" s="52"/>
      <c r="E78" s="52"/>
      <c r="F78" s="63"/>
      <c r="G78" s="52"/>
      <c r="H78" s="52"/>
      <c r="I78" s="52"/>
      <c r="J78" s="52"/>
      <c r="K78" s="52"/>
      <c r="L78" s="59">
        <v>1.1299999999999999</v>
      </c>
      <c r="M78" s="59">
        <v>1.7</v>
      </c>
      <c r="N78" s="52"/>
      <c r="O78" s="52"/>
      <c r="P78" s="52"/>
      <c r="Q78" s="52"/>
      <c r="R78" s="52"/>
      <c r="S78" s="61">
        <v>0.26</v>
      </c>
      <c r="T78" s="48">
        <f>ROUND((L78*I74+1.3*L78*K74+S78*H74),4)</f>
        <v>1732.9739999999999</v>
      </c>
      <c r="U78" s="48">
        <f>ROUND((M78*0.9*I74+1.3*M78*0.9*K74+S78*H74),4)</f>
        <v>2340.8939999999998</v>
      </c>
      <c r="V78" s="48">
        <f>ROUND((M78*I74+1.3*M78*K74+S78*H74),4)</f>
        <v>2599.2600000000002</v>
      </c>
      <c r="W78" s="48">
        <f>ROUND((L78*J74+1.3*L78*N74+S78*G74),4)</f>
        <v>32.07</v>
      </c>
      <c r="X78" s="48">
        <f>ROUND((M78*0.9*J74+1.3*M78*0.9*N74+S78*G74),4)</f>
        <v>42.87</v>
      </c>
      <c r="Y78" s="48">
        <f>ROUND((M78*J74+1.3*M78*N74+S78*G74),4)</f>
        <v>47.46</v>
      </c>
      <c r="Z78" s="49">
        <f>ROUND((P74*T78*F74*O74/1000000),4)</f>
        <v>0.20799999999999999</v>
      </c>
      <c r="AA78" s="49">
        <f>ROUND((Q74*U78*F74*O74/1000000),4)</f>
        <v>7.0199999999999999E-2</v>
      </c>
      <c r="AB78" s="49">
        <f>ROUND((R74*V78*F74*O74/1000000),4)</f>
        <v>0</v>
      </c>
      <c r="AC78" s="50" t="s">
        <v>250</v>
      </c>
      <c r="AD78" s="51" t="s">
        <v>208</v>
      </c>
      <c r="AE78" s="44">
        <f>ROUND((((X78*E74)/1800)),4)</f>
        <v>2.3800000000000002E-2</v>
      </c>
      <c r="AF78" s="44">
        <f>ROUND(((Z78+AA78+AB78)),4)</f>
        <v>0.2782</v>
      </c>
    </row>
    <row r="79" spans="1:32" ht="12.95" customHeight="1" x14ac:dyDescent="0.25">
      <c r="A79" s="52"/>
      <c r="B79" s="62"/>
      <c r="C79" s="56"/>
      <c r="D79" s="56"/>
      <c r="E79" s="56"/>
      <c r="F79" s="66"/>
      <c r="G79" s="56"/>
      <c r="H79" s="56"/>
      <c r="I79" s="56"/>
      <c r="J79" s="56"/>
      <c r="K79" s="56"/>
      <c r="L79" s="59">
        <v>5.3</v>
      </c>
      <c r="M79" s="59">
        <v>6.47</v>
      </c>
      <c r="N79" s="56"/>
      <c r="O79" s="56"/>
      <c r="P79" s="56"/>
      <c r="Q79" s="56"/>
      <c r="R79" s="56"/>
      <c r="S79" s="61">
        <v>9.92</v>
      </c>
      <c r="T79" s="48">
        <f>ROUND((L79*I74+1.3*L79*K74+S79*H74),4)</f>
        <v>8650.14</v>
      </c>
      <c r="U79" s="48">
        <f>ROUND((M79*0.9*I74+1.3*M79*0.9*K74+S79*H74),4)</f>
        <v>9444.9953999999998</v>
      </c>
      <c r="V79" s="48">
        <f>ROUND((M79*I74+1.3*M79*K74+S79*H74),4)</f>
        <v>10428.306</v>
      </c>
      <c r="W79" s="48">
        <f>ROUND((L79*J74+1.3*L79*N74+S79*G74),4)</f>
        <v>202.62</v>
      </c>
      <c r="X79" s="48">
        <f>ROUND((M79*0.9*J74+1.3*M79*0.9*N74+S79*G74),4)</f>
        <v>216.74100000000001</v>
      </c>
      <c r="Y79" s="48">
        <f>ROUND((M79*J74+1.3*M79*N74+S79*G74),4)</f>
        <v>234.21</v>
      </c>
      <c r="Z79" s="49">
        <f>ROUND((P74*T79*F74*O74/1000000),4)</f>
        <v>1.038</v>
      </c>
      <c r="AA79" s="49">
        <f>ROUND((Q74*U79*F74*O74/1000000),4)</f>
        <v>0.2833</v>
      </c>
      <c r="AB79" s="49">
        <f>ROUND((R74*V79*F74*O74/1000000),4)</f>
        <v>0</v>
      </c>
      <c r="AC79" s="50" t="s">
        <v>170</v>
      </c>
      <c r="AD79" s="51" t="s">
        <v>162</v>
      </c>
      <c r="AE79" s="44">
        <f>ROUND((((X79*E74)/1800)),4)</f>
        <v>0.12039999999999999</v>
      </c>
      <c r="AF79" s="44">
        <f>ROUND(((Z79+AA79+AB79)),4)</f>
        <v>1.3212999999999999</v>
      </c>
    </row>
    <row r="80" spans="1:32" ht="12.95" customHeight="1" x14ac:dyDescent="0.25">
      <c r="A80" s="52"/>
      <c r="B80" s="67" t="s">
        <v>220</v>
      </c>
      <c r="C80" s="46">
        <v>7</v>
      </c>
      <c r="D80" s="45" t="s">
        <v>217</v>
      </c>
      <c r="E80" s="45">
        <v>1</v>
      </c>
      <c r="F80" s="45">
        <v>5</v>
      </c>
      <c r="G80" s="45">
        <v>6</v>
      </c>
      <c r="H80" s="45">
        <v>60</v>
      </c>
      <c r="I80" s="45">
        <f>(8-1-0.75*2)*60*F80-K80-8*0.12*60</f>
        <v>519.9</v>
      </c>
      <c r="J80" s="45">
        <v>14</v>
      </c>
      <c r="K80" s="45">
        <f>(8-1-0.75*2)*0.65*60*F80</f>
        <v>1072.5</v>
      </c>
      <c r="L80" s="48">
        <v>10.16</v>
      </c>
      <c r="M80" s="48">
        <v>10.16</v>
      </c>
      <c r="N80" s="45">
        <v>10</v>
      </c>
      <c r="O80" s="45">
        <f>E80/F80</f>
        <v>0.2</v>
      </c>
      <c r="P80" s="45">
        <v>120</v>
      </c>
      <c r="Q80" s="45">
        <v>30</v>
      </c>
      <c r="R80" s="47">
        <v>30</v>
      </c>
      <c r="S80" s="47">
        <v>1.99</v>
      </c>
      <c r="T80" s="48">
        <f>ROUND((L80*I80+1.3*L80*K80+S80*H80),4)</f>
        <v>19567.164000000001</v>
      </c>
      <c r="U80" s="48">
        <f>ROUND((M80*I80+1.3*M80*K80+S80*H80),4)</f>
        <v>19567.164000000001</v>
      </c>
      <c r="V80" s="48">
        <f>ROUND((M80*I80+1.3*M80*K80+S80*H80),4)</f>
        <v>19567.164000000001</v>
      </c>
      <c r="W80" s="48">
        <f>ROUND((L80*J80+1.3*L80*N80+S80*G80),4)</f>
        <v>286.26</v>
      </c>
      <c r="X80" s="48">
        <f>ROUND((M80*J80+1.3*M80*N80+S80*G80),4)</f>
        <v>286.26</v>
      </c>
      <c r="Y80" s="48">
        <f>ROUND((M80*J80+1.3*M80*N80+S80*G80),4)</f>
        <v>286.26</v>
      </c>
      <c r="Z80" s="49">
        <f>ROUND((P80*T80*F80*O80/1000000),4)</f>
        <v>2.3481000000000001</v>
      </c>
      <c r="AA80" s="49">
        <f>ROUND((Q80*U80*F80*O80/1000000),4)</f>
        <v>0.58699999999999997</v>
      </c>
      <c r="AB80" s="49">
        <f>ROUND((R80*V80*F80*O80/1000000),4)</f>
        <v>0.58699999999999997</v>
      </c>
      <c r="AC80" s="50" t="s">
        <v>200</v>
      </c>
      <c r="AD80" s="51" t="s">
        <v>153</v>
      </c>
      <c r="AE80" s="44">
        <f>ROUND((((X80*E80)/1800)*0.8),4)</f>
        <v>0.12720000000000001</v>
      </c>
      <c r="AF80" s="44">
        <f>ROUND(((Z80+AA80+AB80)*0.8),4)</f>
        <v>2.8176999999999999</v>
      </c>
    </row>
    <row r="81" spans="1:37" ht="12.95" customHeight="1" x14ac:dyDescent="0.25">
      <c r="A81" s="52"/>
      <c r="B81" s="53" t="s">
        <v>221</v>
      </c>
      <c r="C81" s="52"/>
      <c r="D81" s="52"/>
      <c r="E81" s="52"/>
      <c r="F81" s="63"/>
      <c r="G81" s="52"/>
      <c r="H81" s="52"/>
      <c r="I81" s="52"/>
      <c r="J81" s="52"/>
      <c r="K81" s="52"/>
      <c r="L81" s="56"/>
      <c r="M81" s="56"/>
      <c r="N81" s="52"/>
      <c r="O81" s="52"/>
      <c r="P81" s="52"/>
      <c r="Q81" s="52"/>
      <c r="R81" s="52"/>
      <c r="S81" s="57"/>
      <c r="T81" s="54"/>
      <c r="U81" s="54"/>
      <c r="V81" s="54"/>
      <c r="W81" s="54"/>
      <c r="X81" s="54"/>
      <c r="Y81" s="54"/>
      <c r="Z81" s="54"/>
      <c r="AA81" s="54"/>
      <c r="AB81" s="54"/>
      <c r="AC81" s="50" t="s">
        <v>201</v>
      </c>
      <c r="AD81" s="51" t="s">
        <v>202</v>
      </c>
      <c r="AE81" s="44">
        <f>ROUND((((X80*E80)/1800)*0.13),4)</f>
        <v>2.07E-2</v>
      </c>
      <c r="AF81" s="44">
        <f>ROUND(((Z80+AA80+AB80)*0.13),4)</f>
        <v>0.45789999999999997</v>
      </c>
    </row>
    <row r="82" spans="1:37" ht="12.95" customHeight="1" x14ac:dyDescent="0.25">
      <c r="A82" s="52"/>
      <c r="B82" s="88"/>
      <c r="C82" s="55"/>
      <c r="D82" s="55"/>
      <c r="E82" s="52"/>
      <c r="F82" s="63"/>
      <c r="G82" s="52"/>
      <c r="H82" s="52"/>
      <c r="I82" s="52"/>
      <c r="J82" s="52"/>
      <c r="K82" s="52"/>
      <c r="L82" s="59">
        <v>0.8</v>
      </c>
      <c r="M82" s="59">
        <v>0.98</v>
      </c>
      <c r="N82" s="52"/>
      <c r="O82" s="52"/>
      <c r="P82" s="52"/>
      <c r="Q82" s="52"/>
      <c r="R82" s="52"/>
      <c r="S82" s="60">
        <v>0.39</v>
      </c>
      <c r="T82" s="48">
        <f>ROUND((L82*I80+1.3*L82*K80+S82*H80),4)</f>
        <v>1554.72</v>
      </c>
      <c r="U82" s="48">
        <f>ROUND((M82*0.9*I80+1.3*M82*0.9*K80+S82*H80),4)</f>
        <v>1711.6803</v>
      </c>
      <c r="V82" s="48">
        <f>ROUND((M82*I80+1.3*M82*K80+S82*H80),4)</f>
        <v>1899.2670000000001</v>
      </c>
      <c r="W82" s="48">
        <f>ROUND((L82*J80+1.3*L82*N80+S82*G80),4)</f>
        <v>23.94</v>
      </c>
      <c r="X82" s="48">
        <f>ROUND((M82*0.9*J80+1.3*M82*0.9*N80+S82*G80),4)</f>
        <v>26.154</v>
      </c>
      <c r="Y82" s="48">
        <f>ROUND((M82*J80+1.3*M82*N80+S82*G80),4)</f>
        <v>28.8</v>
      </c>
      <c r="Z82" s="49">
        <f>ROUND((P80*T82*F80*O80/1000000),4)</f>
        <v>0.18659999999999999</v>
      </c>
      <c r="AA82" s="49">
        <f>ROUND((Q80*U82*F80*O80/1000000),4)</f>
        <v>5.1400000000000001E-2</v>
      </c>
      <c r="AB82" s="49">
        <f>ROUND((R80*V82*F80*O80/1000000),4)</f>
        <v>5.7000000000000002E-2</v>
      </c>
      <c r="AC82" s="50" t="s">
        <v>203</v>
      </c>
      <c r="AD82" s="51" t="s">
        <v>204</v>
      </c>
      <c r="AE82" s="44">
        <f>ROUND((((X82*E80)/1800)),4)</f>
        <v>1.4500000000000001E-2</v>
      </c>
      <c r="AF82" s="44">
        <f>ROUND(((Z82+AA82+AB82)),5)</f>
        <v>0.29499999999999998</v>
      </c>
    </row>
    <row r="83" spans="1:37" ht="12.95" customHeight="1" x14ac:dyDescent="0.25">
      <c r="A83" s="52"/>
      <c r="B83" s="88"/>
      <c r="C83" s="52"/>
      <c r="D83" s="52"/>
      <c r="E83" s="52"/>
      <c r="F83" s="63"/>
      <c r="G83" s="52"/>
      <c r="H83" s="52"/>
      <c r="I83" s="52"/>
      <c r="J83" s="52"/>
      <c r="K83" s="52"/>
      <c r="L83" s="59">
        <v>1.79</v>
      </c>
      <c r="M83" s="59">
        <v>2.15</v>
      </c>
      <c r="N83" s="52"/>
      <c r="O83" s="52"/>
      <c r="P83" s="52"/>
      <c r="Q83" s="52"/>
      <c r="R83" s="52"/>
      <c r="S83" s="61">
        <v>1.24</v>
      </c>
      <c r="T83" s="48">
        <f>ROUND((L83*I80+1.3*L83*K80+S83*H80),4)</f>
        <v>3500.7285000000002</v>
      </c>
      <c r="U83" s="48">
        <f>ROUND((M83*0.9*I80+1.3*M83*0.9*K80+S83*H80),4)</f>
        <v>3778.2802999999999</v>
      </c>
      <c r="V83" s="48">
        <f>ROUND((M83*I80+1.3*M83*K80+S83*H80),4)</f>
        <v>4189.8225000000002</v>
      </c>
      <c r="W83" s="48">
        <f>ROUND((L83*J80+1.3*L83*N80+S83*G80),4)</f>
        <v>55.77</v>
      </c>
      <c r="X83" s="48">
        <f>ROUND((M83*0.9*J80+1.3*M83*0.9*N80+S83*G80),4)</f>
        <v>59.685000000000002</v>
      </c>
      <c r="Y83" s="48">
        <f>ROUND((M83*J80+1.3*N80+S83*G80),4)</f>
        <v>50.54</v>
      </c>
      <c r="Z83" s="49">
        <f>ROUND((P80*T83*F80*O80/1000000),4)</f>
        <v>0.42009999999999997</v>
      </c>
      <c r="AA83" s="49">
        <f>ROUND((Q80*U83*F80*O80/1000000),4)</f>
        <v>0.1133</v>
      </c>
      <c r="AB83" s="49">
        <f>ROUND((R80*V83*F80*O80/1000000),4)</f>
        <v>0.12570000000000001</v>
      </c>
      <c r="AC83" s="50" t="s">
        <v>205</v>
      </c>
      <c r="AD83" s="51" t="s">
        <v>206</v>
      </c>
      <c r="AE83" s="44">
        <f>ROUND((((X83*E80)/1800)),4)</f>
        <v>3.32E-2</v>
      </c>
      <c r="AF83" s="44">
        <f>ROUND(((Z83+AA83+AB83)),4)</f>
        <v>0.65910000000000002</v>
      </c>
    </row>
    <row r="84" spans="1:37" ht="12.95" customHeight="1" x14ac:dyDescent="0.25">
      <c r="A84" s="52"/>
      <c r="B84" s="53"/>
      <c r="C84" s="52"/>
      <c r="D84" s="52"/>
      <c r="E84" s="52"/>
      <c r="F84" s="63"/>
      <c r="G84" s="52"/>
      <c r="H84" s="52"/>
      <c r="I84" s="52"/>
      <c r="J84" s="52"/>
      <c r="K84" s="52"/>
      <c r="L84" s="59">
        <v>1.1299999999999999</v>
      </c>
      <c r="M84" s="59">
        <v>1.7</v>
      </c>
      <c r="N84" s="52"/>
      <c r="O84" s="52"/>
      <c r="P84" s="52"/>
      <c r="Q84" s="52"/>
      <c r="R84" s="52"/>
      <c r="S84" s="61">
        <v>0.26</v>
      </c>
      <c r="T84" s="48">
        <f>ROUND((L84*I80+1.3*L84*K80+S84*H80),4)</f>
        <v>2178.5895</v>
      </c>
      <c r="U84" s="48">
        <f>ROUND((M84*0.9*I80+1.3*M84*0.9*K80+S84*H80),4)</f>
        <v>2944.2494999999999</v>
      </c>
      <c r="V84" s="48">
        <f>ROUND((M84*I80+1.3*M84*K80+S84*H80),4)</f>
        <v>3269.6550000000002</v>
      </c>
      <c r="W84" s="48">
        <f>ROUND((L84*J80+1.3*L84*N80+S84*G80),4)</f>
        <v>32.07</v>
      </c>
      <c r="X84" s="48">
        <f>ROUND((M84*0.9*J80+1.3*M84*0.9*N80+S84*G80),4)</f>
        <v>42.87</v>
      </c>
      <c r="Y84" s="48">
        <f>ROUND((M84*J80+1.3*M84*N80+S84*G80),4)</f>
        <v>47.46</v>
      </c>
      <c r="Z84" s="49">
        <f>ROUND((P80*T84*F80*O80/1000000),4)</f>
        <v>0.26140000000000002</v>
      </c>
      <c r="AA84" s="49">
        <f>ROUND((Q80*U84*F80*O80/1000000),4)</f>
        <v>8.8300000000000003E-2</v>
      </c>
      <c r="AB84" s="49">
        <f>ROUND((R80*V84*F80*O80/1000000),4)</f>
        <v>9.8100000000000007E-2</v>
      </c>
      <c r="AC84" s="50" t="s">
        <v>250</v>
      </c>
      <c r="AD84" s="51" t="s">
        <v>208</v>
      </c>
      <c r="AE84" s="44">
        <f>ROUND((((X84*E80)/1800)),4)</f>
        <v>2.3800000000000002E-2</v>
      </c>
      <c r="AF84" s="44">
        <f>ROUND(((Z84+AA84+AB84)),4)</f>
        <v>0.44779999999999998</v>
      </c>
    </row>
    <row r="85" spans="1:37" ht="12.95" customHeight="1" x14ac:dyDescent="0.25">
      <c r="A85" s="52"/>
      <c r="B85" s="62"/>
      <c r="C85" s="56"/>
      <c r="D85" s="56"/>
      <c r="E85" s="56"/>
      <c r="F85" s="66"/>
      <c r="G85" s="56"/>
      <c r="H85" s="56"/>
      <c r="I85" s="56"/>
      <c r="J85" s="56"/>
      <c r="K85" s="56"/>
      <c r="L85" s="59">
        <v>5.3</v>
      </c>
      <c r="M85" s="59">
        <v>6.47</v>
      </c>
      <c r="N85" s="56"/>
      <c r="O85" s="56"/>
      <c r="P85" s="56"/>
      <c r="Q85" s="56"/>
      <c r="R85" s="56"/>
      <c r="S85" s="61">
        <v>9.92</v>
      </c>
      <c r="T85" s="48">
        <f>ROUND((L85*I80+1.3*L85*K80+S85*H80),4)</f>
        <v>10740.195</v>
      </c>
      <c r="U85" s="48">
        <f>ROUND((M85*0.9*I80+1.3*M85*0.9*K80+S85*H80),4)</f>
        <v>11741.2955</v>
      </c>
      <c r="V85" s="48">
        <f>ROUND((M85*I80+1.3*M85*K80+S85*H80),4)</f>
        <v>12979.7505</v>
      </c>
      <c r="W85" s="48">
        <f>ROUND((L85*J80+1.3*L85*N80+S85*G80),4)</f>
        <v>202.62</v>
      </c>
      <c r="X85" s="48">
        <f>ROUND((M85*0.9*J80+1.3*M85*0.9*N80+S85*G80),4)</f>
        <v>216.74100000000001</v>
      </c>
      <c r="Y85" s="48">
        <f>ROUND((M85*J80+1.3*M85*N80+S85*G80),4)</f>
        <v>234.21</v>
      </c>
      <c r="Z85" s="49">
        <f>ROUND((P80*T85*F80*O80/1000000),4)</f>
        <v>1.2887999999999999</v>
      </c>
      <c r="AA85" s="49">
        <f>ROUND((Q80*U85*F80*O80/1000000),4)</f>
        <v>0.35220000000000001</v>
      </c>
      <c r="AB85" s="49">
        <f>ROUND((R80*V85*F80*O80/1000000),4)</f>
        <v>0.38940000000000002</v>
      </c>
      <c r="AC85" s="50" t="s">
        <v>170</v>
      </c>
      <c r="AD85" s="51" t="s">
        <v>162</v>
      </c>
      <c r="AE85" s="44">
        <f>ROUND((((X85*E80)/1800)),4)</f>
        <v>0.12039999999999999</v>
      </c>
      <c r="AF85" s="44">
        <f>ROUND(((Z85+AA85+AB85)),4)</f>
        <v>2.0304000000000002</v>
      </c>
    </row>
    <row r="86" spans="1:37" ht="12.95" customHeight="1" x14ac:dyDescent="0.25">
      <c r="A86" s="52"/>
      <c r="B86" s="67" t="s">
        <v>220</v>
      </c>
      <c r="C86" s="46">
        <v>7</v>
      </c>
      <c r="D86" s="45" t="s">
        <v>217</v>
      </c>
      <c r="E86" s="45">
        <v>1</v>
      </c>
      <c r="F86" s="45">
        <v>4</v>
      </c>
      <c r="G86" s="45">
        <v>6</v>
      </c>
      <c r="H86" s="45">
        <v>60</v>
      </c>
      <c r="I86" s="45">
        <f>(8-1-0.75*2)*60*F86-K86-8*0.12*60</f>
        <v>404.4</v>
      </c>
      <c r="J86" s="45">
        <v>14</v>
      </c>
      <c r="K86" s="45">
        <f>(8-1-0.75*2)*0.65*60*F86</f>
        <v>858</v>
      </c>
      <c r="L86" s="48">
        <v>10.16</v>
      </c>
      <c r="M86" s="48">
        <v>10.16</v>
      </c>
      <c r="N86" s="45">
        <v>10</v>
      </c>
      <c r="O86" s="45">
        <f>E86/F86</f>
        <v>0.25</v>
      </c>
      <c r="P86" s="45">
        <v>120</v>
      </c>
      <c r="Q86" s="45">
        <v>15</v>
      </c>
      <c r="R86" s="47">
        <v>15</v>
      </c>
      <c r="S86" s="47">
        <v>1.99</v>
      </c>
      <c r="T86" s="48">
        <f>ROUND((L86*I86+1.3*L86*K86+S86*H86),4)</f>
        <v>15560.567999999999</v>
      </c>
      <c r="U86" s="48">
        <f>ROUND((M86*I86+1.3*M86*K86+S86*H86),4)</f>
        <v>15560.567999999999</v>
      </c>
      <c r="V86" s="48">
        <f>ROUND((M86*I86+1.3*M86*K86+S86*H86),4)</f>
        <v>15560.567999999999</v>
      </c>
      <c r="W86" s="48">
        <f>ROUND((L86*J86+1.3*L86*N86+S86*G86),4)</f>
        <v>286.26</v>
      </c>
      <c r="X86" s="48">
        <f>ROUND((M86*J86+1.3*M86*N86+S86*G86),4)</f>
        <v>286.26</v>
      </c>
      <c r="Y86" s="48">
        <f>ROUND((M86*J86+1.3*M86*N86+S86*G86),4)</f>
        <v>286.26</v>
      </c>
      <c r="Z86" s="49">
        <f>ROUND((P86*T86*F86*O86/1000000),4)</f>
        <v>1.8673</v>
      </c>
      <c r="AA86" s="49">
        <f>ROUND((Q86*U86*F86*O86/1000000),4)</f>
        <v>0.2334</v>
      </c>
      <c r="AB86" s="49">
        <f>ROUND((R86*V86*F86*O86/1000000),4)</f>
        <v>0.2334</v>
      </c>
      <c r="AC86" s="50" t="s">
        <v>200</v>
      </c>
      <c r="AD86" s="51" t="s">
        <v>153</v>
      </c>
      <c r="AE86" s="44">
        <f>ROUND((((X86*E86)/1800)*0.8),4)</f>
        <v>0.12720000000000001</v>
      </c>
      <c r="AF86" s="44">
        <f>ROUND(((Z86+AA86+AB86)*0.8),4)</f>
        <v>1.8673</v>
      </c>
    </row>
    <row r="87" spans="1:37" ht="12.95" customHeight="1" x14ac:dyDescent="0.25">
      <c r="A87" s="52"/>
      <c r="B87" s="53" t="s">
        <v>222</v>
      </c>
      <c r="C87" s="52"/>
      <c r="D87" s="52"/>
      <c r="E87" s="52"/>
      <c r="F87" s="63"/>
      <c r="G87" s="52"/>
      <c r="H87" s="52"/>
      <c r="I87" s="52"/>
      <c r="J87" s="52"/>
      <c r="K87" s="52"/>
      <c r="L87" s="56"/>
      <c r="M87" s="56"/>
      <c r="N87" s="52"/>
      <c r="O87" s="52"/>
      <c r="P87" s="52"/>
      <c r="Q87" s="52"/>
      <c r="R87" s="52"/>
      <c r="S87" s="57"/>
      <c r="T87" s="54"/>
      <c r="U87" s="54"/>
      <c r="V87" s="54"/>
      <c r="W87" s="54"/>
      <c r="X87" s="54"/>
      <c r="Y87" s="54"/>
      <c r="Z87" s="54"/>
      <c r="AA87" s="54"/>
      <c r="AB87" s="54"/>
      <c r="AC87" s="50" t="s">
        <v>201</v>
      </c>
      <c r="AD87" s="51" t="s">
        <v>202</v>
      </c>
      <c r="AE87" s="44">
        <f>ROUND((((X86*E86)/1800)*0.13),4)</f>
        <v>2.07E-2</v>
      </c>
      <c r="AF87" s="44">
        <f>ROUND(((Z86+AA86+AB86)*0.13),4)</f>
        <v>0.3034</v>
      </c>
    </row>
    <row r="88" spans="1:37" ht="12.95" customHeight="1" x14ac:dyDescent="0.25">
      <c r="A88" s="52"/>
      <c r="B88" s="88"/>
      <c r="C88" s="55"/>
      <c r="D88" s="55"/>
      <c r="E88" s="52"/>
      <c r="F88" s="63"/>
      <c r="G88" s="52"/>
      <c r="H88" s="52"/>
      <c r="I88" s="52"/>
      <c r="J88" s="52"/>
      <c r="K88" s="52"/>
      <c r="L88" s="59">
        <v>0.8</v>
      </c>
      <c r="M88" s="59">
        <v>0.98</v>
      </c>
      <c r="N88" s="52"/>
      <c r="O88" s="52"/>
      <c r="P88" s="52"/>
      <c r="Q88" s="52"/>
      <c r="R88" s="52"/>
      <c r="S88" s="60">
        <v>0.39</v>
      </c>
      <c r="T88" s="48">
        <f>ROUND((L88*I86+1.3*L88*K86+S88*H86),4)</f>
        <v>1239.24</v>
      </c>
      <c r="U88" s="48">
        <f>ROUND((M88*0.9*I86+1.3*M88*0.9*K86+S88*H86),4)</f>
        <v>1363.8635999999999</v>
      </c>
      <c r="V88" s="48">
        <f>ROUND((M88*I86+1.3*M88*K86+S88*H86),4)</f>
        <v>1512.8040000000001</v>
      </c>
      <c r="W88" s="48">
        <f>ROUND((L88*J86+1.3*L88*N86+S88*G86),4)</f>
        <v>23.94</v>
      </c>
      <c r="X88" s="48">
        <f>ROUND((M88*0.9*J86+1.3*M88*0.9*N86+S88*G86),4)</f>
        <v>26.154</v>
      </c>
      <c r="Y88" s="48">
        <f>ROUND((M88*J86+1.3*M88*N86+S88*G86),4)</f>
        <v>28.8</v>
      </c>
      <c r="Z88" s="49">
        <f>ROUND((P86*T88*F86*O86/1000000),4)</f>
        <v>0.1487</v>
      </c>
      <c r="AA88" s="49">
        <f>ROUND((Q86*U88*F86*O86/1000000),4)</f>
        <v>2.0500000000000001E-2</v>
      </c>
      <c r="AB88" s="49">
        <f>ROUND((R86*V88*F86*O86/1000000),4)</f>
        <v>2.2700000000000001E-2</v>
      </c>
      <c r="AC88" s="50" t="s">
        <v>203</v>
      </c>
      <c r="AD88" s="51" t="s">
        <v>204</v>
      </c>
      <c r="AE88" s="44">
        <f>ROUND((((X88*E86)/1800)),4)</f>
        <v>1.4500000000000001E-2</v>
      </c>
      <c r="AF88" s="44">
        <f>ROUND(((Z88+AA88+AB88)),5)</f>
        <v>0.19189999999999999</v>
      </c>
    </row>
    <row r="89" spans="1:37" ht="12.95" customHeight="1" x14ac:dyDescent="0.25">
      <c r="A89" s="52"/>
      <c r="B89" s="88"/>
      <c r="C89" s="52"/>
      <c r="D89" s="52"/>
      <c r="E89" s="52"/>
      <c r="F89" s="63"/>
      <c r="G89" s="52"/>
      <c r="H89" s="52"/>
      <c r="I89" s="52"/>
      <c r="J89" s="52"/>
      <c r="K89" s="52"/>
      <c r="L89" s="59">
        <v>1.79</v>
      </c>
      <c r="M89" s="59">
        <v>2.15</v>
      </c>
      <c r="N89" s="52"/>
      <c r="O89" s="52"/>
      <c r="P89" s="52"/>
      <c r="Q89" s="52"/>
      <c r="R89" s="52"/>
      <c r="S89" s="61">
        <v>1.24</v>
      </c>
      <c r="T89" s="48">
        <f>ROUND((L89*I86+1.3*L89*K86+S89*H86),4)</f>
        <v>2794.8420000000001</v>
      </c>
      <c r="U89" s="48">
        <f>ROUND((M89*0.9*I86+1.3*M89*0.9*K86+S89*H86),4)</f>
        <v>3015.2130000000002</v>
      </c>
      <c r="V89" s="48">
        <f>ROUND((M89*I86+1.3*M89*K86+S89*H86),4)</f>
        <v>3341.97</v>
      </c>
      <c r="W89" s="48">
        <f>ROUND((L89*J86+1.3*L89*N86+S89*G86),4)</f>
        <v>55.77</v>
      </c>
      <c r="X89" s="48">
        <f>ROUND((M89*0.9*J86+1.3*M89*0.9*N86+S89*G86),4)</f>
        <v>59.685000000000002</v>
      </c>
      <c r="Y89" s="48">
        <f>ROUND((M89*J86+1.3*N86+S89*G86),4)</f>
        <v>50.54</v>
      </c>
      <c r="Z89" s="49">
        <f>ROUND((P86*T89*F86*O86/1000000),4)</f>
        <v>0.33539999999999998</v>
      </c>
      <c r="AA89" s="49">
        <f>ROUND((Q86*U89*F86*O86/1000000),4)</f>
        <v>4.5199999999999997E-2</v>
      </c>
      <c r="AB89" s="49">
        <f>ROUND((R86*V89*F86*O86/1000000),4)</f>
        <v>5.0099999999999999E-2</v>
      </c>
      <c r="AC89" s="50" t="s">
        <v>205</v>
      </c>
      <c r="AD89" s="51" t="s">
        <v>206</v>
      </c>
      <c r="AE89" s="44">
        <f>ROUND((((X89*E86)/1800)),4)</f>
        <v>3.32E-2</v>
      </c>
      <c r="AF89" s="44">
        <f>ROUND(((Z89+AA89+AB89)),4)</f>
        <v>0.43070000000000003</v>
      </c>
    </row>
    <row r="90" spans="1:37" ht="12.95" customHeight="1" x14ac:dyDescent="0.25">
      <c r="A90" s="52"/>
      <c r="B90" s="53"/>
      <c r="C90" s="52"/>
      <c r="D90" s="52"/>
      <c r="E90" s="52"/>
      <c r="F90" s="63"/>
      <c r="G90" s="52"/>
      <c r="H90" s="52"/>
      <c r="I90" s="52"/>
      <c r="J90" s="52"/>
      <c r="K90" s="52"/>
      <c r="L90" s="59">
        <v>1.1299999999999999</v>
      </c>
      <c r="M90" s="59">
        <v>1.7</v>
      </c>
      <c r="N90" s="52"/>
      <c r="O90" s="52"/>
      <c r="P90" s="52"/>
      <c r="Q90" s="52"/>
      <c r="R90" s="52"/>
      <c r="S90" s="61">
        <v>0.26</v>
      </c>
      <c r="T90" s="48">
        <f>ROUND((L90*I86+1.3*L90*K86+S90*H86),4)</f>
        <v>1732.9739999999999</v>
      </c>
      <c r="U90" s="48">
        <f>ROUND((M90*0.9*I86+1.3*M90*0.9*K86+S90*H86),4)</f>
        <v>2340.8939999999998</v>
      </c>
      <c r="V90" s="48">
        <f>ROUND((M90*I86+1.3*M90*K86+S90*H86),4)</f>
        <v>2599.2600000000002</v>
      </c>
      <c r="W90" s="48">
        <f>ROUND((L90*J86+1.3*L90*N86+S90*G86),4)</f>
        <v>32.07</v>
      </c>
      <c r="X90" s="48">
        <f>ROUND((M90*0.9*J86+1.3*M90*0.9*N86+S90*G86),4)</f>
        <v>42.87</v>
      </c>
      <c r="Y90" s="48">
        <f>ROUND((M90*J86+1.3*M90*N86+S90*G86),4)</f>
        <v>47.46</v>
      </c>
      <c r="Z90" s="49">
        <f>ROUND((P86*T90*F86*O86/1000000),4)</f>
        <v>0.20799999999999999</v>
      </c>
      <c r="AA90" s="49">
        <f>ROUND((Q86*U90*F86*O86/1000000),4)</f>
        <v>3.5099999999999999E-2</v>
      </c>
      <c r="AB90" s="49">
        <f>ROUND((R86*V90*F86*O86/1000000),4)</f>
        <v>3.9E-2</v>
      </c>
      <c r="AC90" s="50" t="s">
        <v>250</v>
      </c>
      <c r="AD90" s="51" t="s">
        <v>208</v>
      </c>
      <c r="AE90" s="44">
        <f>ROUND((((X90*E86)/1800)),4)</f>
        <v>2.3800000000000002E-2</v>
      </c>
      <c r="AF90" s="44">
        <f>ROUND(((Z90+AA90+AB90)),4)</f>
        <v>0.28210000000000002</v>
      </c>
    </row>
    <row r="91" spans="1:37" ht="12.95" customHeight="1" x14ac:dyDescent="0.25">
      <c r="A91" s="52"/>
      <c r="B91" s="62"/>
      <c r="C91" s="56"/>
      <c r="D91" s="56"/>
      <c r="E91" s="56"/>
      <c r="F91" s="66"/>
      <c r="G91" s="56"/>
      <c r="H91" s="56"/>
      <c r="I91" s="56"/>
      <c r="J91" s="56"/>
      <c r="K91" s="56"/>
      <c r="L91" s="59">
        <v>5.3</v>
      </c>
      <c r="M91" s="59">
        <v>6.47</v>
      </c>
      <c r="N91" s="56"/>
      <c r="O91" s="56"/>
      <c r="P91" s="56"/>
      <c r="Q91" s="56"/>
      <c r="R91" s="56"/>
      <c r="S91" s="61">
        <v>9.92</v>
      </c>
      <c r="T91" s="48">
        <f>ROUND((L91*I86+1.3*L91*K86+S91*H86),4)</f>
        <v>8650.14</v>
      </c>
      <c r="U91" s="48">
        <f>ROUND((M91*0.9*I86+1.3*M91*0.9*K86+S91*H86),4)</f>
        <v>9444.9953999999998</v>
      </c>
      <c r="V91" s="48">
        <f>ROUND((M91*I86+1.3*M91*K86+S91*H86),4)</f>
        <v>10428.306</v>
      </c>
      <c r="W91" s="48">
        <f>ROUND((L91*J86+1.3*L91*N86+S91*G86),4)</f>
        <v>202.62</v>
      </c>
      <c r="X91" s="48">
        <f>ROUND((M91*0.9*J86+1.3*M91*0.9*N86+S91*G86),4)</f>
        <v>216.74100000000001</v>
      </c>
      <c r="Y91" s="48">
        <f>ROUND((M91*J86+1.3*M91*N86+S91*G86),4)</f>
        <v>234.21</v>
      </c>
      <c r="Z91" s="49">
        <f>ROUND((P86*T91*F86*O86/1000000),4)</f>
        <v>1.038</v>
      </c>
      <c r="AA91" s="49">
        <f>ROUND((Q86*U91*F86*O86/1000000),4)</f>
        <v>0.14169999999999999</v>
      </c>
      <c r="AB91" s="49">
        <f>ROUND((R86*V91*F86*O86/1000000),4)</f>
        <v>0.15640000000000001</v>
      </c>
      <c r="AC91" s="50" t="s">
        <v>170</v>
      </c>
      <c r="AD91" s="51" t="s">
        <v>162</v>
      </c>
      <c r="AE91" s="44">
        <f>ROUND((((X91*E86)/1800)),4)</f>
        <v>0.12039999999999999</v>
      </c>
      <c r="AF91" s="44">
        <f>ROUND(((Z91+AA91+AB91)),4)</f>
        <v>1.3361000000000001</v>
      </c>
    </row>
    <row r="92" spans="1:37" ht="12.95" customHeight="1" x14ac:dyDescent="0.25">
      <c r="A92" s="52"/>
      <c r="B92" s="67" t="s">
        <v>223</v>
      </c>
      <c r="C92" s="46">
        <v>1</v>
      </c>
      <c r="D92" s="45" t="s">
        <v>225</v>
      </c>
      <c r="E92" s="45">
        <v>1</v>
      </c>
      <c r="F92" s="45">
        <v>3</v>
      </c>
      <c r="G92" s="45">
        <v>6</v>
      </c>
      <c r="H92" s="45">
        <v>60</v>
      </c>
      <c r="I92" s="45">
        <f>(8-1-0.75*2)*60*F92-K92-8*0.12*60</f>
        <v>288.89999999999998</v>
      </c>
      <c r="J92" s="45">
        <v>14</v>
      </c>
      <c r="K92" s="45">
        <f>(8-1-0.75*2)*0.65*60*F92</f>
        <v>643.5</v>
      </c>
      <c r="L92" s="48">
        <v>0.47</v>
      </c>
      <c r="M92" s="48">
        <v>0.47</v>
      </c>
      <c r="N92" s="45">
        <v>10</v>
      </c>
      <c r="O92" s="45">
        <f>E92/F92</f>
        <v>0.33333333333333331</v>
      </c>
      <c r="P92" s="45">
        <v>120</v>
      </c>
      <c r="Q92" s="45">
        <v>30</v>
      </c>
      <c r="R92" s="47">
        <v>0</v>
      </c>
      <c r="S92" s="47">
        <v>0.09</v>
      </c>
      <c r="T92" s="48">
        <f>ROUND((L92*I92+1.3*L92*K92+S92*H92),4)</f>
        <v>534.36149999999998</v>
      </c>
      <c r="U92" s="48">
        <f>ROUND((M92*I92+1.3*M92*K92+S92*H92),4)</f>
        <v>534.36149999999998</v>
      </c>
      <c r="V92" s="48">
        <f>ROUND((M92*I92+1.3*M92*K92+S92*H92),4)</f>
        <v>534.36149999999998</v>
      </c>
      <c r="W92" s="48">
        <f>ROUND((L92*J92+1.3*L92*N92+S92*G92),4)</f>
        <v>13.23</v>
      </c>
      <c r="X92" s="48">
        <f>ROUND((M92*J92+1.3*M92*N92+S92*G92),4)</f>
        <v>13.23</v>
      </c>
      <c r="Y92" s="48">
        <f>ROUND((M92*J92+1.3*M92*N92+S92*G92),4)</f>
        <v>13.23</v>
      </c>
      <c r="Z92" s="49">
        <f>ROUND((P92*T92*F92*O92/1000000),4)</f>
        <v>6.4100000000000004E-2</v>
      </c>
      <c r="AA92" s="49">
        <f>ROUND((Q92*U92*F92*O92/1000000),4)</f>
        <v>1.6E-2</v>
      </c>
      <c r="AB92" s="49">
        <f>ROUND((R92*V92*F92*O92/1000000),4)</f>
        <v>0</v>
      </c>
      <c r="AC92" s="50" t="s">
        <v>200</v>
      </c>
      <c r="AD92" s="51" t="s">
        <v>153</v>
      </c>
      <c r="AE92" s="44">
        <f>ROUND((((X92*E92)/1800)*0.8),4)</f>
        <v>5.8999999999999999E-3</v>
      </c>
      <c r="AF92" s="44">
        <f>ROUND(((Z92+AA92+AB92)*0.8),4)</f>
        <v>6.4100000000000004E-2</v>
      </c>
      <c r="AG92" s="88"/>
      <c r="AH92" s="88"/>
      <c r="AI92" s="88"/>
      <c r="AJ92" s="88"/>
      <c r="AK92" s="88"/>
    </row>
    <row r="93" spans="1:37" ht="12.95" customHeight="1" x14ac:dyDescent="0.25">
      <c r="A93" s="52"/>
      <c r="B93" s="53" t="s">
        <v>224</v>
      </c>
      <c r="C93" s="52"/>
      <c r="D93" s="52"/>
      <c r="E93" s="52"/>
      <c r="F93" s="63"/>
      <c r="G93" s="52"/>
      <c r="H93" s="52"/>
      <c r="I93" s="52"/>
      <c r="J93" s="52"/>
      <c r="K93" s="52"/>
      <c r="L93" s="56"/>
      <c r="M93" s="56"/>
      <c r="N93" s="52"/>
      <c r="O93" s="52"/>
      <c r="P93" s="52"/>
      <c r="Q93" s="52"/>
      <c r="R93" s="52"/>
      <c r="S93" s="57"/>
      <c r="T93" s="54"/>
      <c r="U93" s="54"/>
      <c r="V93" s="54"/>
      <c r="W93" s="54"/>
      <c r="X93" s="54"/>
      <c r="Y93" s="54"/>
      <c r="Z93" s="54"/>
      <c r="AA93" s="54"/>
      <c r="AB93" s="54"/>
      <c r="AC93" s="50" t="s">
        <v>201</v>
      </c>
      <c r="AD93" s="51" t="s">
        <v>202</v>
      </c>
      <c r="AE93" s="44">
        <f>ROUND((((X92*E92)/1800)*0.13),4)</f>
        <v>1E-3</v>
      </c>
      <c r="AF93" s="44">
        <f>ROUND(((Z92+AA92+AB92)*0.13),4)</f>
        <v>1.04E-2</v>
      </c>
      <c r="AG93" s="88"/>
      <c r="AH93" s="88"/>
      <c r="AI93" s="88"/>
      <c r="AJ93" s="88"/>
      <c r="AK93" s="88"/>
    </row>
    <row r="94" spans="1:37" ht="12.95" customHeight="1" x14ac:dyDescent="0.25">
      <c r="A94" s="52"/>
      <c r="B94" s="88"/>
      <c r="C94" s="55"/>
      <c r="D94" s="55"/>
      <c r="E94" s="52"/>
      <c r="F94" s="63"/>
      <c r="G94" s="52"/>
      <c r="H94" s="52"/>
      <c r="I94" s="52"/>
      <c r="J94" s="52"/>
      <c r="K94" s="52"/>
      <c r="L94" s="59">
        <v>0.8</v>
      </c>
      <c r="M94" s="59">
        <v>0.98</v>
      </c>
      <c r="N94" s="52"/>
      <c r="O94" s="52"/>
      <c r="P94" s="52"/>
      <c r="Q94" s="52"/>
      <c r="R94" s="52"/>
      <c r="S94" s="60">
        <v>1.7999999999999999E-2</v>
      </c>
      <c r="T94" s="48">
        <f>ROUND((L94*I92+1.3*L94*K92+S94*H92),4)</f>
        <v>901.44</v>
      </c>
      <c r="U94" s="48">
        <f>ROUND((M94*0.9*I92+1.3*M94*0.9*K92+S94*H92),4)</f>
        <v>993.7269</v>
      </c>
      <c r="V94" s="48">
        <f>ROUND((M94*I92+1.3*M94*K92+S94*H92),4)</f>
        <v>1104.021</v>
      </c>
      <c r="W94" s="48">
        <f>ROUND((L94*J92+1.3*L94*N92+S94*G92),4)</f>
        <v>21.707999999999998</v>
      </c>
      <c r="X94" s="48">
        <f>ROUND((M94*0.9*J92+1.3*M94*0.9*N92+S94*G92),4)</f>
        <v>23.922000000000001</v>
      </c>
      <c r="Y94" s="48">
        <f>ROUND((M94*J92+1.3*M94*N92+S94*G92),4)</f>
        <v>26.568000000000001</v>
      </c>
      <c r="Z94" s="49">
        <f>ROUND((P92*T94*F92*O92/1000000),4)</f>
        <v>0.1082</v>
      </c>
      <c r="AA94" s="49">
        <f>ROUND((Q92*U94*F92*O92/1000000),4)</f>
        <v>2.98E-2</v>
      </c>
      <c r="AB94" s="49">
        <f>ROUND((R92*V94*F92*O92/1000000),4)</f>
        <v>0</v>
      </c>
      <c r="AC94" s="50" t="s">
        <v>203</v>
      </c>
      <c r="AD94" s="51" t="s">
        <v>204</v>
      </c>
      <c r="AE94" s="44">
        <f>ROUND((((X94*E92)/1800)),4)</f>
        <v>1.3299999999999999E-2</v>
      </c>
      <c r="AF94" s="44">
        <f>ROUND(((Z94+AA94+AB94)),5)</f>
        <v>0.13800000000000001</v>
      </c>
      <c r="AG94" s="88"/>
      <c r="AH94" s="88"/>
      <c r="AI94" s="88"/>
      <c r="AJ94" s="88"/>
      <c r="AK94" s="88"/>
    </row>
    <row r="95" spans="1:37" ht="12.95" customHeight="1" x14ac:dyDescent="0.25">
      <c r="A95" s="52"/>
      <c r="B95" s="88"/>
      <c r="C95" s="52"/>
      <c r="D95" s="52"/>
      <c r="E95" s="52"/>
      <c r="F95" s="63"/>
      <c r="G95" s="52"/>
      <c r="H95" s="52"/>
      <c r="I95" s="52"/>
      <c r="J95" s="52"/>
      <c r="K95" s="52"/>
      <c r="L95" s="59">
        <v>0.08</v>
      </c>
      <c r="M95" s="59">
        <v>0.1</v>
      </c>
      <c r="N95" s="52"/>
      <c r="O95" s="52"/>
      <c r="P95" s="52"/>
      <c r="Q95" s="52"/>
      <c r="R95" s="52"/>
      <c r="S95" s="61">
        <v>0.06</v>
      </c>
      <c r="T95" s="48">
        <f>ROUND((L95*I92+1.3*L95*K92+S95*H92),4)</f>
        <v>93.635999999999996</v>
      </c>
      <c r="U95" s="48">
        <f>ROUND((M95*0.9*I92+1.3*M95*0.9*K92+S95*H92),4)</f>
        <v>104.8905</v>
      </c>
      <c r="V95" s="48">
        <f>ROUND((M95*I92+1.3*M95*K92+S95*H92),4)</f>
        <v>116.145</v>
      </c>
      <c r="W95" s="48">
        <f>ROUND((L95*J92+1.3*L95*N92+S95*G92),4)</f>
        <v>2.52</v>
      </c>
      <c r="X95" s="48">
        <f>ROUND((M95*0.9*J92+1.3*M95*0.9*N92+S95*G92),4)</f>
        <v>2.79</v>
      </c>
      <c r="Y95" s="48">
        <f>ROUND((M95*J92+1.3*N92+S95*G92),4)</f>
        <v>14.76</v>
      </c>
      <c r="Z95" s="49">
        <f>ROUND((P92*T95*F92*O92/1000000),4)</f>
        <v>1.12E-2</v>
      </c>
      <c r="AA95" s="49">
        <f>ROUND((Q92*U95*F92*O92/1000000),4)</f>
        <v>3.0999999999999999E-3</v>
      </c>
      <c r="AB95" s="49">
        <f>ROUND((R92*V95*F92*O92/1000000),4)</f>
        <v>0</v>
      </c>
      <c r="AC95" s="50" t="s">
        <v>205</v>
      </c>
      <c r="AD95" s="51" t="s">
        <v>206</v>
      </c>
      <c r="AE95" s="44">
        <f>ROUND((((X95*E92)/1800)),4)</f>
        <v>1.6000000000000001E-3</v>
      </c>
      <c r="AF95" s="44">
        <f>ROUND(((Z95+AA95+AB95)),4)</f>
        <v>1.43E-2</v>
      </c>
      <c r="AG95" s="88"/>
      <c r="AH95" s="88"/>
      <c r="AI95" s="88"/>
      <c r="AJ95" s="88"/>
      <c r="AK95" s="88"/>
    </row>
    <row r="96" spans="1:37" ht="12.95" customHeight="1" x14ac:dyDescent="0.25">
      <c r="A96" s="52"/>
      <c r="B96" s="53"/>
      <c r="C96" s="52"/>
      <c r="D96" s="52"/>
      <c r="E96" s="52"/>
      <c r="F96" s="63"/>
      <c r="G96" s="52"/>
      <c r="H96" s="52"/>
      <c r="I96" s="52"/>
      <c r="J96" s="52"/>
      <c r="K96" s="52"/>
      <c r="L96" s="59">
        <v>0.05</v>
      </c>
      <c r="M96" s="59">
        <v>7.0000000000000007E-2</v>
      </c>
      <c r="N96" s="52"/>
      <c r="O96" s="52"/>
      <c r="P96" s="52"/>
      <c r="Q96" s="52"/>
      <c r="R96" s="52"/>
      <c r="S96" s="61">
        <v>0.01</v>
      </c>
      <c r="T96" s="48">
        <f>ROUND((L96*I92+1.3*L96*K92+S96*H92),4)</f>
        <v>56.872500000000002</v>
      </c>
      <c r="U96" s="48">
        <f>ROUND((M96*0.9*I92+1.3*M96*0.9*K92+S96*H92),4)</f>
        <v>71.503399999999999</v>
      </c>
      <c r="V96" s="48">
        <f>ROUND((M96*I92+1.3*M96*K92+S96*H92),4)</f>
        <v>79.381500000000003</v>
      </c>
      <c r="W96" s="48">
        <f>ROUND((L96*J92+1.3*L96*N92+S96*G92),4)</f>
        <v>1.41</v>
      </c>
      <c r="X96" s="48">
        <f>ROUND((M96*0.9*J92+1.3*M96*0.9*N92+S96*G92),4)</f>
        <v>1.7609999999999999</v>
      </c>
      <c r="Y96" s="48">
        <f>ROUND((M96*J92+1.3*M96*N92+S96*G92),4)</f>
        <v>1.95</v>
      </c>
      <c r="Z96" s="49">
        <f>ROUND((P92*T96*F92*O92/1000000),4)</f>
        <v>6.7999999999999996E-3</v>
      </c>
      <c r="AA96" s="49">
        <f>ROUND((Q92*U96*F92*O92/1000000),4)</f>
        <v>2.0999999999999999E-3</v>
      </c>
      <c r="AB96" s="49">
        <f>ROUND((R92*V96*F92*O92/1000000),4)</f>
        <v>0</v>
      </c>
      <c r="AC96" s="50" t="s">
        <v>250</v>
      </c>
      <c r="AD96" s="51" t="s">
        <v>208</v>
      </c>
      <c r="AE96" s="44">
        <f>ROUND((((X96*E92)/1800)),4)</f>
        <v>1E-3</v>
      </c>
      <c r="AF96" s="44">
        <f>ROUND(((Z96+AA96+AB96)),4)</f>
        <v>8.8999999999999999E-3</v>
      </c>
      <c r="AG96" s="88"/>
      <c r="AH96" s="88"/>
      <c r="AI96" s="88"/>
      <c r="AJ96" s="88"/>
      <c r="AK96" s="88"/>
    </row>
    <row r="97" spans="1:37" ht="12.95" customHeight="1" x14ac:dyDescent="0.25">
      <c r="A97" s="52"/>
      <c r="B97" s="62"/>
      <c r="C97" s="56"/>
      <c r="D97" s="56"/>
      <c r="E97" s="56"/>
      <c r="F97" s="66"/>
      <c r="G97" s="56"/>
      <c r="H97" s="56"/>
      <c r="I97" s="56"/>
      <c r="J97" s="56"/>
      <c r="K97" s="56"/>
      <c r="L97" s="59">
        <v>3.5999999999999997E-2</v>
      </c>
      <c r="M97" s="59">
        <v>4.3999999999999997E-2</v>
      </c>
      <c r="N97" s="56"/>
      <c r="O97" s="56"/>
      <c r="P97" s="56"/>
      <c r="Q97" s="56"/>
      <c r="R97" s="56"/>
      <c r="S97" s="61">
        <v>0.45</v>
      </c>
      <c r="T97" s="48">
        <f>ROUND((L97*I92+1.3*L97*K92+S97*H92),4)</f>
        <v>67.516199999999998</v>
      </c>
      <c r="U97" s="48">
        <f>ROUND((M97*0.9*I92+1.3*M97*0.9*K92+S97*H92),4)</f>
        <v>71.567800000000005</v>
      </c>
      <c r="V97" s="48">
        <f>ROUND((M97*I92+1.3*M97*K92+S97*H92),4)</f>
        <v>76.519800000000004</v>
      </c>
      <c r="W97" s="48">
        <f>ROUND((L97*J92+1.3*L97*N92+S97*G92),4)</f>
        <v>3.6720000000000002</v>
      </c>
      <c r="X97" s="48">
        <f>ROUND((M97*0.9*J92+1.3*M97*0.9*N92+S97*G92),4)</f>
        <v>3.7692000000000001</v>
      </c>
      <c r="Y97" s="48">
        <f>ROUND((M97*J92+1.3*M97*N92+S97*G92),4)</f>
        <v>3.8879999999999999</v>
      </c>
      <c r="Z97" s="49">
        <f>ROUND((P92*T97*F92*O92/1000000),4)</f>
        <v>8.0999999999999996E-3</v>
      </c>
      <c r="AA97" s="49">
        <f>ROUND((Q92*U97*F92*O92/1000000),4)</f>
        <v>2.0999999999999999E-3</v>
      </c>
      <c r="AB97" s="49">
        <f>ROUND((R92*V97*F92*O92/1000000),4)</f>
        <v>0</v>
      </c>
      <c r="AC97" s="50" t="s">
        <v>170</v>
      </c>
      <c r="AD97" s="51" t="s">
        <v>162</v>
      </c>
      <c r="AE97" s="44">
        <f>ROUND((((X97*E92)/1800)),4)</f>
        <v>2.0999999999999999E-3</v>
      </c>
      <c r="AF97" s="44">
        <f>ROUND(((Z97+AA97+AB97)),4)</f>
        <v>1.0200000000000001E-2</v>
      </c>
      <c r="AG97" s="88"/>
      <c r="AH97" s="88"/>
      <c r="AI97" s="88"/>
      <c r="AJ97" s="88"/>
      <c r="AK97" s="88"/>
    </row>
    <row r="98" spans="1:37" ht="12.95" customHeight="1" x14ac:dyDescent="0.25">
      <c r="A98" s="52"/>
      <c r="B98" s="67" t="s">
        <v>226</v>
      </c>
      <c r="C98" s="46">
        <v>3</v>
      </c>
      <c r="D98" s="45" t="s">
        <v>228</v>
      </c>
      <c r="E98" s="45">
        <v>1</v>
      </c>
      <c r="F98" s="45">
        <v>1</v>
      </c>
      <c r="G98" s="45">
        <v>6</v>
      </c>
      <c r="H98" s="45">
        <v>60</v>
      </c>
      <c r="I98" s="45">
        <f>(8-1-0.75*2)*60*F98-K98-8*0.12*60</f>
        <v>57.900000000000006</v>
      </c>
      <c r="J98" s="45">
        <v>14</v>
      </c>
      <c r="K98" s="45">
        <f>(8-1-0.75*2)*0.65*60*F98</f>
        <v>214.5</v>
      </c>
      <c r="L98" s="48">
        <v>1.49</v>
      </c>
      <c r="M98" s="48">
        <v>1.49</v>
      </c>
      <c r="N98" s="45">
        <v>10</v>
      </c>
      <c r="O98" s="45">
        <f>E98/F98</f>
        <v>1</v>
      </c>
      <c r="P98" s="45">
        <v>60</v>
      </c>
      <c r="Q98" s="45">
        <v>0</v>
      </c>
      <c r="R98" s="47">
        <v>0</v>
      </c>
      <c r="S98" s="47">
        <v>0.28999999999999998</v>
      </c>
      <c r="T98" s="48">
        <f>ROUND((L98*I98+1.3*L98*K98+S98*H98),4)</f>
        <v>519.15750000000003</v>
      </c>
      <c r="U98" s="48">
        <f>ROUND((M98*I98+1.3*M98*K98+S98*H98),4)</f>
        <v>519.15750000000003</v>
      </c>
      <c r="V98" s="48">
        <f>ROUND((M98*I98+1.3*M98*K98+S98*H98),4)</f>
        <v>519.15750000000003</v>
      </c>
      <c r="W98" s="48">
        <f>ROUND((L98*J98+1.3*L98*N98+S98*G98),4)</f>
        <v>41.97</v>
      </c>
      <c r="X98" s="48">
        <f>ROUND((M98*J98+1.3*M98*N98+S98*G98),4)</f>
        <v>41.97</v>
      </c>
      <c r="Y98" s="48">
        <f>ROUND((M98*J98+1.3*M98*N98+S98*G98),4)</f>
        <v>41.97</v>
      </c>
      <c r="Z98" s="49">
        <f>ROUND((P98*T98*F98*O98/1000000),4)</f>
        <v>3.1099999999999999E-2</v>
      </c>
      <c r="AA98" s="49">
        <f>ROUND((Q98*U98*F98*O98/1000000),4)</f>
        <v>0</v>
      </c>
      <c r="AB98" s="49">
        <f>ROUND((R98*V98*F98*O98/1000000),4)</f>
        <v>0</v>
      </c>
      <c r="AC98" s="50" t="s">
        <v>200</v>
      </c>
      <c r="AD98" s="51" t="s">
        <v>153</v>
      </c>
      <c r="AE98" s="44">
        <f>ROUND((((X98*E98)/1800)*0.8),4)</f>
        <v>1.8700000000000001E-2</v>
      </c>
      <c r="AF98" s="44">
        <f>ROUND(((Z98+AA98+AB98)*0.8),4)</f>
        <v>2.4899999999999999E-2</v>
      </c>
      <c r="AG98" s="88"/>
      <c r="AH98" s="88"/>
      <c r="AI98" s="88"/>
      <c r="AJ98" s="88"/>
      <c r="AK98" s="88"/>
    </row>
    <row r="99" spans="1:37" ht="12.95" customHeight="1" x14ac:dyDescent="0.25">
      <c r="A99" s="52"/>
      <c r="B99" s="53" t="s">
        <v>227</v>
      </c>
      <c r="C99" s="52"/>
      <c r="D99" s="52"/>
      <c r="E99" s="52"/>
      <c r="F99" s="63"/>
      <c r="G99" s="52"/>
      <c r="H99" s="52"/>
      <c r="I99" s="52"/>
      <c r="J99" s="52"/>
      <c r="K99" s="52"/>
      <c r="L99" s="56"/>
      <c r="M99" s="56"/>
      <c r="N99" s="52"/>
      <c r="O99" s="52"/>
      <c r="P99" s="52"/>
      <c r="Q99" s="52"/>
      <c r="R99" s="52"/>
      <c r="S99" s="57"/>
      <c r="T99" s="54"/>
      <c r="U99" s="54"/>
      <c r="V99" s="54"/>
      <c r="W99" s="54"/>
      <c r="X99" s="54"/>
      <c r="Y99" s="54"/>
      <c r="Z99" s="54"/>
      <c r="AA99" s="54"/>
      <c r="AB99" s="54"/>
      <c r="AC99" s="50" t="s">
        <v>201</v>
      </c>
      <c r="AD99" s="51" t="s">
        <v>202</v>
      </c>
      <c r="AE99" s="44">
        <f>ROUND((((X98*E98)/1800)*0.13),4)</f>
        <v>3.0000000000000001E-3</v>
      </c>
      <c r="AF99" s="44">
        <f>ROUND(((Z98+AA98+AB98)*0.13),4)</f>
        <v>4.0000000000000001E-3</v>
      </c>
      <c r="AG99" s="88"/>
      <c r="AH99" s="88"/>
    </row>
    <row r="100" spans="1:37" ht="12.95" customHeight="1" x14ac:dyDescent="0.25">
      <c r="A100" s="63"/>
      <c r="B100" s="87"/>
      <c r="C100" s="65"/>
      <c r="D100" s="55"/>
      <c r="E100" s="52"/>
      <c r="F100" s="63"/>
      <c r="G100" s="52"/>
      <c r="H100" s="52"/>
      <c r="I100" s="52"/>
      <c r="J100" s="52"/>
      <c r="K100" s="52"/>
      <c r="L100" s="59">
        <v>0.12</v>
      </c>
      <c r="M100" s="59">
        <v>0.15</v>
      </c>
      <c r="N100" s="52"/>
      <c r="O100" s="52"/>
      <c r="P100" s="52"/>
      <c r="Q100" s="52"/>
      <c r="R100" s="52"/>
      <c r="S100" s="60">
        <v>5.8000000000000003E-2</v>
      </c>
      <c r="T100" s="48">
        <f>ROUND((L100*I98+1.3*L100*K98+S100*H98),4)</f>
        <v>43.89</v>
      </c>
      <c r="U100" s="48">
        <f>ROUND((M100*0.9*I98+1.3*M100*0.9*K98+S100*H98),4)</f>
        <v>48.941299999999998</v>
      </c>
      <c r="V100" s="48">
        <f>ROUND((M100*I98+1.3*M100*K98+S100*H98),4)</f>
        <v>53.9925</v>
      </c>
      <c r="W100" s="48">
        <f>ROUND((L100*J98+1.3*L100*N98+S100*G98),4)</f>
        <v>3.5880000000000001</v>
      </c>
      <c r="X100" s="48">
        <f>ROUND((M100*0.9*J98+1.3*M100*0.9*N98+S100*G98),4)</f>
        <v>3.9929999999999999</v>
      </c>
      <c r="Y100" s="48">
        <f>ROUND((M100*J98+1.3*M100*N98+S100*G98),4)</f>
        <v>4.3979999999999997</v>
      </c>
      <c r="Z100" s="49">
        <f>ROUND((P98*T100*F98*O98/1000000),4)</f>
        <v>2.5999999999999999E-3</v>
      </c>
      <c r="AA100" s="49">
        <f>ROUND((Q98*U100*F98*O98/1000000),4)</f>
        <v>0</v>
      </c>
      <c r="AB100" s="49">
        <f>ROUND((R98*V100*F98*O98/1000000),4)</f>
        <v>0</v>
      </c>
      <c r="AC100" s="50" t="s">
        <v>203</v>
      </c>
      <c r="AD100" s="51" t="s">
        <v>204</v>
      </c>
      <c r="AE100" s="44">
        <f>ROUND((((X100*E98)/1800)),4)</f>
        <v>2.2000000000000001E-3</v>
      </c>
      <c r="AF100" s="44">
        <f>ROUND(((Z100+AA100+AB100)),5)</f>
        <v>2.5999999999999999E-3</v>
      </c>
      <c r="AG100" s="88"/>
      <c r="AH100" s="88"/>
    </row>
    <row r="101" spans="1:37" ht="12.95" customHeight="1" x14ac:dyDescent="0.25">
      <c r="A101" s="63"/>
      <c r="B101" s="87"/>
      <c r="C101" s="63"/>
      <c r="D101" s="52"/>
      <c r="E101" s="52"/>
      <c r="F101" s="63"/>
      <c r="G101" s="52"/>
      <c r="H101" s="52"/>
      <c r="I101" s="52"/>
      <c r="J101" s="52"/>
      <c r="K101" s="52"/>
      <c r="L101" s="59">
        <v>0.26</v>
      </c>
      <c r="M101" s="59">
        <v>0.31</v>
      </c>
      <c r="N101" s="52"/>
      <c r="O101" s="52"/>
      <c r="P101" s="52"/>
      <c r="Q101" s="52"/>
      <c r="R101" s="52"/>
      <c r="S101" s="61">
        <v>0.18</v>
      </c>
      <c r="T101" s="48">
        <f>ROUND((L101*I98+1.3*L101*K98+S101*H98),4)</f>
        <v>98.355000000000004</v>
      </c>
      <c r="U101" s="48">
        <f>ROUND((M101*0.9*I98+1.3*M101*0.9*K98+S101*H98),4)</f>
        <v>104.7533</v>
      </c>
      <c r="V101" s="48">
        <f>ROUND((M101*I98+1.3*M101*K98+S101*H98),4)</f>
        <v>115.1925</v>
      </c>
      <c r="W101" s="48">
        <f>ROUND((L101*J98+1.3*L101*N98+S101*G98),4)</f>
        <v>8.1</v>
      </c>
      <c r="X101" s="48">
        <f>ROUND((M101*0.9*J98+1.3*M101*0.9*N98+S101*G98),4)</f>
        <v>8.6129999999999995</v>
      </c>
      <c r="Y101" s="48">
        <f>ROUND((M101*J98+1.3*N98+S101*G98),4)</f>
        <v>18.420000000000002</v>
      </c>
      <c r="Z101" s="49">
        <f>ROUND((P98*T101*F98*O98/1000000),4)</f>
        <v>5.8999999999999999E-3</v>
      </c>
      <c r="AA101" s="49">
        <f>ROUND((Q98*U101*F98*O98/1000000),4)</f>
        <v>0</v>
      </c>
      <c r="AB101" s="49">
        <f>ROUND((R98*V101*F98*O98/1000000),4)</f>
        <v>0</v>
      </c>
      <c r="AC101" s="50" t="s">
        <v>205</v>
      </c>
      <c r="AD101" s="51" t="s">
        <v>206</v>
      </c>
      <c r="AE101" s="44">
        <f>ROUND((((X101*E98)/1800)),4)</f>
        <v>4.7999999999999996E-3</v>
      </c>
      <c r="AF101" s="44">
        <f>ROUND(((Z101+AA101+AB101)),4)</f>
        <v>5.8999999999999999E-3</v>
      </c>
      <c r="AG101" s="88"/>
      <c r="AH101" s="88"/>
    </row>
    <row r="102" spans="1:37" ht="12.95" customHeight="1" x14ac:dyDescent="0.25">
      <c r="A102" s="63"/>
      <c r="B102" s="64"/>
      <c r="C102" s="63"/>
      <c r="D102" s="52"/>
      <c r="E102" s="52"/>
      <c r="F102" s="63"/>
      <c r="G102" s="52"/>
      <c r="H102" s="52"/>
      <c r="I102" s="52"/>
      <c r="J102" s="52"/>
      <c r="K102" s="52"/>
      <c r="L102" s="59">
        <v>0.17</v>
      </c>
      <c r="M102" s="59">
        <v>0.25</v>
      </c>
      <c r="N102" s="52"/>
      <c r="O102" s="52"/>
      <c r="P102" s="52"/>
      <c r="Q102" s="52"/>
      <c r="R102" s="52"/>
      <c r="S102" s="61">
        <v>0.04</v>
      </c>
      <c r="T102" s="48">
        <f>ROUND((L102*I98+1.3*L102*K98+S102*H98),4)</f>
        <v>59.647500000000001</v>
      </c>
      <c r="U102" s="48">
        <f>ROUND((M102*0.9*I98+1.3*M102*0.9*K98+S102*H98),4)</f>
        <v>78.168800000000005</v>
      </c>
      <c r="V102" s="48">
        <f>ROUND((M102*I98+1.3*M102*K98+S102*H98),4)</f>
        <v>86.587500000000006</v>
      </c>
      <c r="W102" s="48">
        <f>ROUND((L102*J98+1.3*L102*N98+S102*G98),4)</f>
        <v>4.83</v>
      </c>
      <c r="X102" s="48">
        <f>ROUND((M102*0.9*J98+1.3*M102*0.9*N98+S102*G98),4)</f>
        <v>6.3150000000000004</v>
      </c>
      <c r="Y102" s="48">
        <f>ROUND((M102*J98+1.3*M102*N98+S102*G98),4)</f>
        <v>6.99</v>
      </c>
      <c r="Z102" s="49">
        <f>ROUND((P98*T102*F98*O98/1000000),4)</f>
        <v>3.5999999999999999E-3</v>
      </c>
      <c r="AA102" s="49">
        <f>ROUND((Q98*U102*F98*O98/1000000),4)</f>
        <v>0</v>
      </c>
      <c r="AB102" s="49">
        <f>ROUND((R98*V102*F98*O98/1000000),4)</f>
        <v>0</v>
      </c>
      <c r="AC102" s="50" t="s">
        <v>250</v>
      </c>
      <c r="AD102" s="51" t="s">
        <v>208</v>
      </c>
      <c r="AE102" s="44">
        <f>ROUND((((X102*E98)/1800)),4)</f>
        <v>3.5000000000000001E-3</v>
      </c>
      <c r="AF102" s="44">
        <f>ROUND(((Z102+AA102+AB102)),4)</f>
        <v>3.5999999999999999E-3</v>
      </c>
      <c r="AG102" s="88"/>
      <c r="AH102" s="88"/>
    </row>
    <row r="103" spans="1:37" ht="12.95" customHeight="1" x14ac:dyDescent="0.25">
      <c r="A103" s="52"/>
      <c r="B103" s="62"/>
      <c r="C103" s="56"/>
      <c r="D103" s="56"/>
      <c r="E103" s="56"/>
      <c r="F103" s="66"/>
      <c r="G103" s="56"/>
      <c r="H103" s="56"/>
      <c r="I103" s="56"/>
      <c r="J103" s="56"/>
      <c r="K103" s="56"/>
      <c r="L103" s="59">
        <v>0.77</v>
      </c>
      <c r="M103" s="59">
        <v>0.94</v>
      </c>
      <c r="N103" s="56"/>
      <c r="O103" s="56"/>
      <c r="P103" s="56"/>
      <c r="Q103" s="56"/>
      <c r="R103" s="56"/>
      <c r="S103" s="61">
        <v>1.44</v>
      </c>
      <c r="T103" s="48">
        <f>ROUND((L103*I98+1.3*L103*K98+S103*H98),4)</f>
        <v>345.69749999999999</v>
      </c>
      <c r="U103" s="48">
        <f>ROUND((M103*0.9*I98+1.3*M103*0.9*K98+S103*H98),4)</f>
        <v>371.29050000000001</v>
      </c>
      <c r="V103" s="48">
        <f>ROUND((M103*I98+1.3*M103*K98+S103*H98),4)</f>
        <v>402.94499999999999</v>
      </c>
      <c r="W103" s="48">
        <f>ROUND((L103*J98+1.3*L103*N98+S103*G98),4)</f>
        <v>29.43</v>
      </c>
      <c r="X103" s="48">
        <f>ROUND((M103*0.9*J98+1.3*M103*0.9*N98+S103*G98),4)</f>
        <v>31.481999999999999</v>
      </c>
      <c r="Y103" s="48">
        <f>ROUND((M103*J98+1.3*M103*N98+S103*G98),4)</f>
        <v>34.020000000000003</v>
      </c>
      <c r="Z103" s="49">
        <f>ROUND((P98*T103*F98*O98/1000000),4)</f>
        <v>2.07E-2</v>
      </c>
      <c r="AA103" s="49">
        <f>ROUND((Q98*U103*F98*O98/1000000),4)</f>
        <v>0</v>
      </c>
      <c r="AB103" s="49">
        <f>ROUND((R98*V103*F98*O98/1000000),4)</f>
        <v>0</v>
      </c>
      <c r="AC103" s="50" t="s">
        <v>170</v>
      </c>
      <c r="AD103" s="51" t="s">
        <v>162</v>
      </c>
      <c r="AE103" s="44">
        <f>ROUND((((X103*E98)/1800)),4)</f>
        <v>1.7500000000000002E-2</v>
      </c>
      <c r="AF103" s="44">
        <f>ROUND(((Z103+AA103+AB103)),4)</f>
        <v>2.07E-2</v>
      </c>
      <c r="AG103" s="88"/>
      <c r="AH103" s="88"/>
    </row>
    <row r="104" spans="1:37" ht="12.95" customHeight="1" x14ac:dyDescent="0.25">
      <c r="A104" s="89"/>
      <c r="B104" s="46" t="s">
        <v>231</v>
      </c>
      <c r="C104" s="46">
        <v>6</v>
      </c>
      <c r="D104" s="45" t="s">
        <v>210</v>
      </c>
      <c r="E104" s="45">
        <v>1</v>
      </c>
      <c r="F104" s="45">
        <v>1</v>
      </c>
      <c r="G104" s="45">
        <v>6</v>
      </c>
      <c r="H104" s="45">
        <v>60</v>
      </c>
      <c r="I104" s="45">
        <f>(8-1-0.75*2)*60*F104-K104-8*0.12*60</f>
        <v>57.900000000000006</v>
      </c>
      <c r="J104" s="45">
        <v>14</v>
      </c>
      <c r="K104" s="45">
        <f>(8-1-0.75*2)*0.65*60*F104</f>
        <v>214.5</v>
      </c>
      <c r="L104" s="48">
        <v>6.47</v>
      </c>
      <c r="M104" s="48">
        <v>6.47</v>
      </c>
      <c r="N104" s="45">
        <v>10</v>
      </c>
      <c r="O104" s="45">
        <f>E104/F104</f>
        <v>1</v>
      </c>
      <c r="P104" s="45">
        <v>20</v>
      </c>
      <c r="Q104" s="45">
        <v>0</v>
      </c>
      <c r="R104" s="47">
        <v>0</v>
      </c>
      <c r="S104" s="47">
        <v>1.27</v>
      </c>
      <c r="T104" s="48">
        <f>ROUND((L104*I104+1.3*L104*K104+S104*H104),4)</f>
        <v>2254.9724999999999</v>
      </c>
      <c r="U104" s="48">
        <f>ROUND((M104*I104+1.3*M104*K104+S104*H104),4)</f>
        <v>2254.9724999999999</v>
      </c>
      <c r="V104" s="48">
        <f>ROUND((M104*I104+1.3*M104*K104+S104*H104),4)</f>
        <v>2254.9724999999999</v>
      </c>
      <c r="W104" s="48">
        <f>ROUND((L104*J104+1.3*L104*N104+S104*G104),4)</f>
        <v>182.31</v>
      </c>
      <c r="X104" s="48">
        <f>ROUND((M104*J104+1.3*M104*N104+S104*G104),4)</f>
        <v>182.31</v>
      </c>
      <c r="Y104" s="48">
        <f>ROUND((M104*J104+1.3*M104*N104+S104*G104),4)</f>
        <v>182.31</v>
      </c>
      <c r="Z104" s="49">
        <f>ROUND((P104*T104*F104*O104/1000000),4)</f>
        <v>4.5100000000000001E-2</v>
      </c>
      <c r="AA104" s="49">
        <f>ROUND((Q104*U104*F104*O104/1000000),4)</f>
        <v>0</v>
      </c>
      <c r="AB104" s="49">
        <f>ROUND((R104*V104*F104*O104/1000000),4)</f>
        <v>0</v>
      </c>
      <c r="AC104" s="50" t="s">
        <v>200</v>
      </c>
      <c r="AD104" s="51" t="s">
        <v>153</v>
      </c>
      <c r="AE104" s="44">
        <f>ROUND((((X104*E104)/1800)*0.8),4)</f>
        <v>8.1000000000000003E-2</v>
      </c>
      <c r="AF104" s="44">
        <f>ROUND(((Z104+AA104+AB104)*0.8),4)</f>
        <v>3.61E-2</v>
      </c>
      <c r="AG104" s="88"/>
      <c r="AH104" s="88"/>
    </row>
    <row r="105" spans="1:37" ht="12.95" customHeight="1" x14ac:dyDescent="0.25">
      <c r="A105" s="89"/>
      <c r="B105" s="53" t="s">
        <v>232</v>
      </c>
      <c r="C105" s="52"/>
      <c r="D105" s="52"/>
      <c r="E105" s="52"/>
      <c r="F105" s="63"/>
      <c r="G105" s="52"/>
      <c r="H105" s="52"/>
      <c r="I105" s="52"/>
      <c r="J105" s="52"/>
      <c r="K105" s="52"/>
      <c r="L105" s="56"/>
      <c r="M105" s="56"/>
      <c r="N105" s="52"/>
      <c r="O105" s="52"/>
      <c r="P105" s="52"/>
      <c r="Q105" s="52"/>
      <c r="R105" s="52"/>
      <c r="S105" s="57"/>
      <c r="T105" s="54"/>
      <c r="U105" s="54"/>
      <c r="V105" s="54"/>
      <c r="W105" s="54"/>
      <c r="X105" s="54"/>
      <c r="Y105" s="54"/>
      <c r="Z105" s="54"/>
      <c r="AA105" s="54"/>
      <c r="AB105" s="54"/>
      <c r="AC105" s="50" t="s">
        <v>201</v>
      </c>
      <c r="AD105" s="51" t="s">
        <v>202</v>
      </c>
      <c r="AE105" s="44">
        <f>ROUND((((X104*E104)/1800)*0.13),4)</f>
        <v>1.32E-2</v>
      </c>
      <c r="AF105" s="44">
        <f>ROUND(((Z104+AA104+AB104)*0.13),4)</f>
        <v>5.8999999999999999E-3</v>
      </c>
      <c r="AG105" s="87"/>
      <c r="AH105" s="87"/>
    </row>
    <row r="106" spans="1:37" ht="12.95" customHeight="1" x14ac:dyDescent="0.25">
      <c r="A106" s="89"/>
      <c r="B106" s="67"/>
      <c r="C106" s="55"/>
      <c r="D106" s="55"/>
      <c r="E106" s="52"/>
      <c r="F106" s="63"/>
      <c r="G106" s="52"/>
      <c r="H106" s="52"/>
      <c r="I106" s="52"/>
      <c r="J106" s="52"/>
      <c r="K106" s="52"/>
      <c r="L106" s="59">
        <v>0.51</v>
      </c>
      <c r="M106" s="59">
        <v>0.63</v>
      </c>
      <c r="N106" s="52"/>
      <c r="O106" s="52"/>
      <c r="P106" s="52"/>
      <c r="Q106" s="52"/>
      <c r="R106" s="52"/>
      <c r="S106" s="60">
        <v>0.25</v>
      </c>
      <c r="T106" s="48">
        <f>ROUND((L106*I104+1.3*L106*K104+S106*H104),4)</f>
        <v>186.74250000000001</v>
      </c>
      <c r="U106" s="48">
        <f>ROUND((M106*0.9*I104+1.3*M106*0.9*K104+S106*H104),4)</f>
        <v>205.93729999999999</v>
      </c>
      <c r="V106" s="48">
        <f>ROUND((M106*I104+1.3*M106*K104+S106*H104),4)</f>
        <v>227.1525</v>
      </c>
      <c r="W106" s="48">
        <f>ROUND((L106*J104+1.3*L106*N104+S106*G104),4)</f>
        <v>15.27</v>
      </c>
      <c r="X106" s="48">
        <f>ROUND((M106*0.9*J104+1.3*M106*0.9*N104+S106*G104),4)</f>
        <v>16.809000000000001</v>
      </c>
      <c r="Y106" s="48">
        <f>ROUND((M106*J104+1.3*M106*N104+S106*G104),4)</f>
        <v>18.510000000000002</v>
      </c>
      <c r="Z106" s="49">
        <f>ROUND((P104*T106*F104*O104/1000000),4)</f>
        <v>3.7000000000000002E-3</v>
      </c>
      <c r="AA106" s="49">
        <f>ROUND((Q104*U106*F104*O104/1000000),4)</f>
        <v>0</v>
      </c>
      <c r="AB106" s="49">
        <f>ROUND((R104*V106*F104*O104/1000000),4)</f>
        <v>0</v>
      </c>
      <c r="AC106" s="50" t="s">
        <v>203</v>
      </c>
      <c r="AD106" s="51" t="s">
        <v>204</v>
      </c>
      <c r="AE106" s="44">
        <f>ROUND((((X106*E104)/1800)),4)</f>
        <v>9.2999999999999992E-3</v>
      </c>
      <c r="AF106" s="44">
        <f>ROUND(((Z106+AA106+AB106)),5)</f>
        <v>3.7000000000000002E-3</v>
      </c>
      <c r="AG106" s="87"/>
      <c r="AH106" s="87"/>
    </row>
    <row r="107" spans="1:37" ht="12.95" customHeight="1" x14ac:dyDescent="0.25">
      <c r="A107" s="89"/>
      <c r="B107" s="53"/>
      <c r="C107" s="52"/>
      <c r="D107" s="52"/>
      <c r="E107" s="52"/>
      <c r="F107" s="63"/>
      <c r="G107" s="52"/>
      <c r="H107" s="52"/>
      <c r="I107" s="52"/>
      <c r="J107" s="52"/>
      <c r="K107" s="52"/>
      <c r="L107" s="59">
        <v>1.1399999999999999</v>
      </c>
      <c r="M107" s="59">
        <v>1.37</v>
      </c>
      <c r="N107" s="52"/>
      <c r="O107" s="52"/>
      <c r="P107" s="52"/>
      <c r="Q107" s="52"/>
      <c r="R107" s="52"/>
      <c r="S107" s="61">
        <v>0.79</v>
      </c>
      <c r="T107" s="48">
        <f>ROUND((L107*I104+1.3*L107*K104+S107*H104),4)</f>
        <v>431.29500000000002</v>
      </c>
      <c r="U107" s="48">
        <f>ROUND((M107*0.9*I104+1.3*M107*0.9*K104+S107*H104),4)</f>
        <v>462.61279999999999</v>
      </c>
      <c r="V107" s="48">
        <f>ROUND((M107*I104+1.3*M107*K104+S107*H104),4)</f>
        <v>508.7475</v>
      </c>
      <c r="W107" s="48">
        <f>ROUND((L107*J104+1.3*L107*N104+S107*G104),4)</f>
        <v>35.520000000000003</v>
      </c>
      <c r="X107" s="48">
        <f>ROUND((M107*0.9*J104+1.3*M107*0.9*N104+S107*G104),4)</f>
        <v>38.030999999999999</v>
      </c>
      <c r="Y107" s="48">
        <f>ROUND((M107*J104+1.3*N104+S107*G104),4)</f>
        <v>36.92</v>
      </c>
      <c r="Z107" s="49">
        <f>ROUND((P104*T107*F104*O104/1000000),4)</f>
        <v>8.6E-3</v>
      </c>
      <c r="AA107" s="49">
        <f>ROUND((Q104*U107*F104*O104/1000000),4)</f>
        <v>0</v>
      </c>
      <c r="AB107" s="49">
        <f>ROUND((R104*V107*F104*O104/1000000),4)</f>
        <v>0</v>
      </c>
      <c r="AC107" s="50" t="s">
        <v>205</v>
      </c>
      <c r="AD107" s="51" t="s">
        <v>206</v>
      </c>
      <c r="AE107" s="44">
        <f>ROUND((((X107*E104)/1800)),4)</f>
        <v>2.1100000000000001E-2</v>
      </c>
      <c r="AF107" s="44">
        <f>ROUND(((Z107+AA107+AB107)),4)</f>
        <v>8.6E-3</v>
      </c>
      <c r="AG107" s="87"/>
      <c r="AH107" s="87"/>
    </row>
    <row r="108" spans="1:37" ht="12.95" customHeight="1" x14ac:dyDescent="0.25">
      <c r="A108" s="89"/>
      <c r="B108" s="53"/>
      <c r="C108" s="52"/>
      <c r="D108" s="52"/>
      <c r="E108" s="52"/>
      <c r="F108" s="63"/>
      <c r="G108" s="52"/>
      <c r="H108" s="52"/>
      <c r="I108" s="52"/>
      <c r="J108" s="52"/>
      <c r="K108" s="52"/>
      <c r="L108" s="59">
        <v>0.72</v>
      </c>
      <c r="M108" s="59">
        <v>1.08</v>
      </c>
      <c r="N108" s="52"/>
      <c r="O108" s="52"/>
      <c r="P108" s="52"/>
      <c r="Q108" s="52"/>
      <c r="R108" s="52"/>
      <c r="S108" s="61">
        <v>0.17</v>
      </c>
      <c r="T108" s="48">
        <f>ROUND((L108*I104+1.3*L108*K104+S108*H104),4)</f>
        <v>252.66</v>
      </c>
      <c r="U108" s="48">
        <f>ROUND((M108*0.9*I104+1.3*M108*0.9*K104+S108*H104),4)</f>
        <v>337.52100000000002</v>
      </c>
      <c r="V108" s="48">
        <f>ROUND((M108*I104+1.3*M108*K104+S108*H104),4)</f>
        <v>373.89</v>
      </c>
      <c r="W108" s="48">
        <f>ROUND((L108*J104+1.3*L108*N104+S108*G104),4)</f>
        <v>20.46</v>
      </c>
      <c r="X108" s="48">
        <f>ROUND((M108*0.9*J104+1.3*M108*0.9*N104+S108*G104),4)</f>
        <v>27.263999999999999</v>
      </c>
      <c r="Y108" s="48">
        <f>ROUND((M108*J104+1.3*M108*N104+S108*G104),4)</f>
        <v>30.18</v>
      </c>
      <c r="Z108" s="49">
        <f>ROUND((P104*T108*F104*O104/1000000),4)</f>
        <v>5.1000000000000004E-3</v>
      </c>
      <c r="AA108" s="49">
        <f>ROUND((Q104*U108*F104*O104/1000000),4)</f>
        <v>0</v>
      </c>
      <c r="AB108" s="49">
        <f>ROUND((R104*V108*F104*O104/1000000),4)</f>
        <v>0</v>
      </c>
      <c r="AC108" s="50" t="s">
        <v>250</v>
      </c>
      <c r="AD108" s="51" t="s">
        <v>208</v>
      </c>
      <c r="AE108" s="44">
        <f>ROUND((((X108*E104)/1800)),4)</f>
        <v>1.5100000000000001E-2</v>
      </c>
      <c r="AF108" s="44">
        <f>ROUND(((Z108+AA108+AB108)),4)</f>
        <v>5.1000000000000004E-3</v>
      </c>
    </row>
    <row r="109" spans="1:37" ht="12.95" customHeight="1" x14ac:dyDescent="0.25">
      <c r="A109" s="89"/>
      <c r="B109" s="62"/>
      <c r="C109" s="56"/>
      <c r="D109" s="56"/>
      <c r="E109" s="56"/>
      <c r="F109" s="66"/>
      <c r="G109" s="56"/>
      <c r="H109" s="56"/>
      <c r="I109" s="56"/>
      <c r="J109" s="56"/>
      <c r="K109" s="56"/>
      <c r="L109" s="59">
        <v>3.37</v>
      </c>
      <c r="M109" s="59">
        <v>4.1100000000000003</v>
      </c>
      <c r="N109" s="56"/>
      <c r="O109" s="56"/>
      <c r="P109" s="56"/>
      <c r="Q109" s="56"/>
      <c r="R109" s="56"/>
      <c r="S109" s="61">
        <v>6.31</v>
      </c>
      <c r="T109" s="48">
        <f>ROUND((L109*I104+1.3*L109*K104+S109*H104),4)</f>
        <v>1513.4475</v>
      </c>
      <c r="U109" s="48">
        <f>ROUND((M109*0.9*I104+1.3*M109*0.9*K104+S109*H104),4)</f>
        <v>1624.2383</v>
      </c>
      <c r="V109" s="48">
        <f>ROUND((M109*I104+1.3*M109*K104+S109*H104),4)</f>
        <v>1762.6424999999999</v>
      </c>
      <c r="W109" s="48">
        <f>ROUND((L109*J104+1.3*L109*N104+S109*G104),4)</f>
        <v>128.85</v>
      </c>
      <c r="X109" s="48">
        <f>ROUND((M109*0.9*J104+1.3*M109*0.9*N104+S109*G104),4)</f>
        <v>137.733</v>
      </c>
      <c r="Y109" s="48">
        <f>ROUND((M109*J104+1.3*M109*N104+S109*G104),4)</f>
        <v>148.83000000000001</v>
      </c>
      <c r="Z109" s="49">
        <f>ROUND((P104*T109*F104*O104/1000000),4)</f>
        <v>3.0300000000000001E-2</v>
      </c>
      <c r="AA109" s="49">
        <f>ROUND((Q104*U109*F104*O104/1000000),4)</f>
        <v>0</v>
      </c>
      <c r="AB109" s="49">
        <f>ROUND((R104*V109*F104*O104/1000000),4)</f>
        <v>0</v>
      </c>
      <c r="AC109" s="50" t="s">
        <v>170</v>
      </c>
      <c r="AD109" s="51" t="s">
        <v>162</v>
      </c>
      <c r="AE109" s="44">
        <f>ROUND((((X109*E104)/1800)),4)</f>
        <v>7.6499999999999999E-2</v>
      </c>
      <c r="AF109" s="44">
        <f>ROUND(((Z109+AA109+AB109)),4)</f>
        <v>3.0300000000000001E-2</v>
      </c>
    </row>
    <row r="110" spans="1:37" ht="12.95" customHeight="1" x14ac:dyDescent="0.25">
      <c r="A110" s="89"/>
      <c r="B110" s="46" t="s">
        <v>234</v>
      </c>
      <c r="C110" s="46">
        <v>6</v>
      </c>
      <c r="D110" s="45" t="s">
        <v>210</v>
      </c>
      <c r="E110" s="45">
        <v>1</v>
      </c>
      <c r="F110" s="45">
        <v>1</v>
      </c>
      <c r="G110" s="45">
        <v>6</v>
      </c>
      <c r="H110" s="45">
        <v>60</v>
      </c>
      <c r="I110" s="45">
        <f>(8-1-0.75*2)*60*F110-K110-8*0.12*60</f>
        <v>57.900000000000006</v>
      </c>
      <c r="J110" s="45">
        <v>14</v>
      </c>
      <c r="K110" s="45">
        <f>(8-1-0.75*2)*0.65*60*F110</f>
        <v>214.5</v>
      </c>
      <c r="L110" s="48">
        <v>6.47</v>
      </c>
      <c r="M110" s="48">
        <v>6.47</v>
      </c>
      <c r="N110" s="45">
        <v>10</v>
      </c>
      <c r="O110" s="45">
        <f>E110/F110</f>
        <v>1</v>
      </c>
      <c r="P110" s="45">
        <v>60</v>
      </c>
      <c r="Q110" s="45">
        <v>0</v>
      </c>
      <c r="R110" s="47">
        <v>0</v>
      </c>
      <c r="S110" s="47">
        <v>1.27</v>
      </c>
      <c r="T110" s="48">
        <f>ROUND((L110*I110+1.3*L110*K110+S110*H110),4)</f>
        <v>2254.9724999999999</v>
      </c>
      <c r="U110" s="48">
        <f>ROUND((M110*I110+1.3*M110*K110+S110*H110),4)</f>
        <v>2254.9724999999999</v>
      </c>
      <c r="V110" s="48">
        <f>ROUND((M110*I110+1.3*M110*K110+S110*H110),4)</f>
        <v>2254.9724999999999</v>
      </c>
      <c r="W110" s="48">
        <f>ROUND((L110*J110+1.3*L110*N110+S110*G110),4)</f>
        <v>182.31</v>
      </c>
      <c r="X110" s="48">
        <f>ROUND((M110*J110+1.3*M110*N110+S110*G110),4)</f>
        <v>182.31</v>
      </c>
      <c r="Y110" s="48">
        <f>ROUND((M110*J110+1.3*M110*N110+S110*G110),4)</f>
        <v>182.31</v>
      </c>
      <c r="Z110" s="49">
        <f>ROUND((P110*T110*F110*O110/1000000),4)</f>
        <v>0.1353</v>
      </c>
      <c r="AA110" s="49">
        <f>ROUND((Q110*U110*F110*O110/1000000),4)</f>
        <v>0</v>
      </c>
      <c r="AB110" s="49">
        <f>ROUND((R110*V110*F110*O110/1000000),4)</f>
        <v>0</v>
      </c>
      <c r="AC110" s="50" t="s">
        <v>200</v>
      </c>
      <c r="AD110" s="51" t="s">
        <v>153</v>
      </c>
      <c r="AE110" s="44">
        <f>ROUND((((X110*E110)/1800)*0.8),4)</f>
        <v>8.1000000000000003E-2</v>
      </c>
      <c r="AF110" s="44">
        <f>ROUND(((Z110+AA110+AB110)*0.8),4)</f>
        <v>0.1082</v>
      </c>
    </row>
    <row r="111" spans="1:37" ht="12.95" customHeight="1" x14ac:dyDescent="0.25">
      <c r="A111" s="89"/>
      <c r="B111" s="53" t="s">
        <v>235</v>
      </c>
      <c r="C111" s="52"/>
      <c r="D111" s="52"/>
      <c r="E111" s="52"/>
      <c r="F111" s="63"/>
      <c r="G111" s="52"/>
      <c r="H111" s="52"/>
      <c r="I111" s="52"/>
      <c r="J111" s="52"/>
      <c r="K111" s="52"/>
      <c r="L111" s="56"/>
      <c r="M111" s="56"/>
      <c r="N111" s="52"/>
      <c r="O111" s="52"/>
      <c r="P111" s="52"/>
      <c r="Q111" s="52"/>
      <c r="R111" s="52"/>
      <c r="S111" s="57"/>
      <c r="T111" s="54"/>
      <c r="U111" s="54"/>
      <c r="V111" s="54"/>
      <c r="W111" s="54"/>
      <c r="X111" s="54"/>
      <c r="Y111" s="54"/>
      <c r="Z111" s="54"/>
      <c r="AA111" s="54"/>
      <c r="AB111" s="54"/>
      <c r="AC111" s="50" t="s">
        <v>201</v>
      </c>
      <c r="AD111" s="51" t="s">
        <v>202</v>
      </c>
      <c r="AE111" s="44">
        <f>ROUND((((X110*E110)/1800)*0.13),4)</f>
        <v>1.32E-2</v>
      </c>
      <c r="AF111" s="44">
        <f>ROUND(((Z110+AA110+AB110)*0.13),4)</f>
        <v>1.7600000000000001E-2</v>
      </c>
    </row>
    <row r="112" spans="1:37" ht="12.95" customHeight="1" x14ac:dyDescent="0.25">
      <c r="A112" s="89"/>
      <c r="B112" s="67"/>
      <c r="C112" s="55"/>
      <c r="D112" s="55"/>
      <c r="E112" s="52"/>
      <c r="F112" s="63"/>
      <c r="G112" s="52"/>
      <c r="H112" s="52"/>
      <c r="I112" s="52"/>
      <c r="J112" s="52"/>
      <c r="K112" s="52"/>
      <c r="L112" s="59">
        <v>0.51</v>
      </c>
      <c r="M112" s="59">
        <v>0.63</v>
      </c>
      <c r="N112" s="52"/>
      <c r="O112" s="52"/>
      <c r="P112" s="52"/>
      <c r="Q112" s="52"/>
      <c r="R112" s="52"/>
      <c r="S112" s="60">
        <v>0.25</v>
      </c>
      <c r="T112" s="48">
        <f>ROUND((L112*I110+1.3*L112*K110+S112*H110),4)</f>
        <v>186.74250000000001</v>
      </c>
      <c r="U112" s="48">
        <f>ROUND((M112*0.9*I110+1.3*M112*0.9*K110+S112*H110),4)</f>
        <v>205.93729999999999</v>
      </c>
      <c r="V112" s="48">
        <f>ROUND((M112*I110+1.3*M112*K110+S112*H110),4)</f>
        <v>227.1525</v>
      </c>
      <c r="W112" s="48">
        <f>ROUND((L112*J110+1.3*L112*N110+S112*G110),4)</f>
        <v>15.27</v>
      </c>
      <c r="X112" s="48">
        <f>ROUND((M112*0.9*J110+1.3*M112*0.9*N110+S112*G110),4)</f>
        <v>16.809000000000001</v>
      </c>
      <c r="Y112" s="48">
        <f>ROUND((M112*J110+1.3*M112*N110+S112*G110),4)</f>
        <v>18.510000000000002</v>
      </c>
      <c r="Z112" s="49">
        <f>ROUND((P110*T112*F110*O110/1000000),4)</f>
        <v>1.12E-2</v>
      </c>
      <c r="AA112" s="49">
        <f>ROUND((Q110*U112*F110*O110/1000000),4)</f>
        <v>0</v>
      </c>
      <c r="AB112" s="49">
        <f>ROUND((R110*V112*F110*O110/1000000),4)</f>
        <v>0</v>
      </c>
      <c r="AC112" s="50" t="s">
        <v>203</v>
      </c>
      <c r="AD112" s="51" t="s">
        <v>204</v>
      </c>
      <c r="AE112" s="44">
        <f>ROUND((((X112*E110)/1800)),4)</f>
        <v>9.2999999999999992E-3</v>
      </c>
      <c r="AF112" s="44">
        <f>ROUND(((Z112+AA112+AB112)),5)</f>
        <v>1.12E-2</v>
      </c>
    </row>
    <row r="113" spans="1:33" ht="12.95" customHeight="1" x14ac:dyDescent="0.25">
      <c r="A113" s="89"/>
      <c r="B113" s="53"/>
      <c r="C113" s="52"/>
      <c r="D113" s="52"/>
      <c r="E113" s="52"/>
      <c r="F113" s="63"/>
      <c r="G113" s="52"/>
      <c r="H113" s="52"/>
      <c r="I113" s="52"/>
      <c r="J113" s="52"/>
      <c r="K113" s="52"/>
      <c r="L113" s="59">
        <v>1.1399999999999999</v>
      </c>
      <c r="M113" s="59">
        <v>1.37</v>
      </c>
      <c r="N113" s="52"/>
      <c r="O113" s="52"/>
      <c r="P113" s="52"/>
      <c r="Q113" s="52"/>
      <c r="R113" s="52"/>
      <c r="S113" s="61">
        <v>0.79</v>
      </c>
      <c r="T113" s="48">
        <f>ROUND((L113*I110+1.3*L113*K110+S113*H110),4)</f>
        <v>431.29500000000002</v>
      </c>
      <c r="U113" s="48">
        <f>ROUND((M113*0.9*I110+1.3*M113*0.9*K110+S113*H110),4)</f>
        <v>462.61279999999999</v>
      </c>
      <c r="V113" s="48">
        <f>ROUND((M113*I110+1.3*M113*K110+S113*H110),4)</f>
        <v>508.7475</v>
      </c>
      <c r="W113" s="48">
        <f>ROUND((L113*J110+1.3*L113*N110+S113*G110),4)</f>
        <v>35.520000000000003</v>
      </c>
      <c r="X113" s="48">
        <f>ROUND((M113*0.9*J110+1.3*M113*0.9*N110+S113*G110),4)</f>
        <v>38.030999999999999</v>
      </c>
      <c r="Y113" s="48">
        <f>ROUND((M113*J110+1.3*N110+S113*G110),4)</f>
        <v>36.92</v>
      </c>
      <c r="Z113" s="49">
        <f>ROUND((P110*T113*F110*O110/1000000),4)</f>
        <v>2.5899999999999999E-2</v>
      </c>
      <c r="AA113" s="49">
        <f>ROUND((Q110*U113*F110*O110/1000000),4)</f>
        <v>0</v>
      </c>
      <c r="AB113" s="49">
        <f>ROUND((R110*V113*F110*O110/1000000),4)</f>
        <v>0</v>
      </c>
      <c r="AC113" s="50" t="s">
        <v>205</v>
      </c>
      <c r="AD113" s="51" t="s">
        <v>206</v>
      </c>
      <c r="AE113" s="44">
        <f>ROUND((((X113*E110)/1800)),4)</f>
        <v>2.1100000000000001E-2</v>
      </c>
      <c r="AF113" s="44">
        <f>ROUND(((Z113+AA113+AB113)),4)</f>
        <v>2.5899999999999999E-2</v>
      </c>
    </row>
    <row r="114" spans="1:33" ht="12.95" customHeight="1" x14ac:dyDescent="0.25">
      <c r="A114" s="89"/>
      <c r="B114" s="53"/>
      <c r="C114" s="52"/>
      <c r="D114" s="52"/>
      <c r="E114" s="52"/>
      <c r="F114" s="63"/>
      <c r="G114" s="52"/>
      <c r="H114" s="52"/>
      <c r="I114" s="52"/>
      <c r="J114" s="52"/>
      <c r="K114" s="52"/>
      <c r="L114" s="59">
        <v>0.72</v>
      </c>
      <c r="M114" s="59">
        <v>1.08</v>
      </c>
      <c r="N114" s="52"/>
      <c r="O114" s="52"/>
      <c r="P114" s="52"/>
      <c r="Q114" s="52"/>
      <c r="R114" s="52"/>
      <c r="S114" s="61">
        <v>0.17</v>
      </c>
      <c r="T114" s="48">
        <f>ROUND((L114*I110+1.3*L114*K110+S114*H110),4)</f>
        <v>252.66</v>
      </c>
      <c r="U114" s="48">
        <f>ROUND((M114*0.9*I110+1.3*M114*0.9*K110+S114*H110),4)</f>
        <v>337.52100000000002</v>
      </c>
      <c r="V114" s="48">
        <f>ROUND((M114*I110+1.3*M114*K110+S114*H110),4)</f>
        <v>373.89</v>
      </c>
      <c r="W114" s="48">
        <f>ROUND((L114*J110+1.3*L114*N110+S114*G110),4)</f>
        <v>20.46</v>
      </c>
      <c r="X114" s="48">
        <f>ROUND((M114*0.9*J110+1.3*M114*0.9*N110+S114*G110),4)</f>
        <v>27.263999999999999</v>
      </c>
      <c r="Y114" s="48">
        <f>ROUND((M114*J110+1.3*M114*N110+S114*G110),4)</f>
        <v>30.18</v>
      </c>
      <c r="Z114" s="49">
        <f>ROUND((P110*T114*F110*O110/1000000),4)</f>
        <v>1.52E-2</v>
      </c>
      <c r="AA114" s="49">
        <f>ROUND((Q110*U114*F110*O110/1000000),4)</f>
        <v>0</v>
      </c>
      <c r="AB114" s="49">
        <f>ROUND((R110*V114*F110*O110/1000000),4)</f>
        <v>0</v>
      </c>
      <c r="AC114" s="50" t="s">
        <v>250</v>
      </c>
      <c r="AD114" s="51" t="s">
        <v>208</v>
      </c>
      <c r="AE114" s="44">
        <f>ROUND((((X114*E110)/1800)),4)</f>
        <v>1.5100000000000001E-2</v>
      </c>
      <c r="AF114" s="44">
        <f>ROUND(((Z114+AA114+AB114)),4)</f>
        <v>1.52E-2</v>
      </c>
    </row>
    <row r="115" spans="1:33" ht="12.95" customHeight="1" x14ac:dyDescent="0.25">
      <c r="A115" s="89"/>
      <c r="B115" s="62"/>
      <c r="C115" s="56"/>
      <c r="D115" s="56"/>
      <c r="E115" s="56"/>
      <c r="F115" s="66"/>
      <c r="G115" s="56"/>
      <c r="H115" s="56"/>
      <c r="I115" s="56"/>
      <c r="J115" s="56"/>
      <c r="K115" s="56"/>
      <c r="L115" s="59">
        <v>3.37</v>
      </c>
      <c r="M115" s="59">
        <v>4.1100000000000003</v>
      </c>
      <c r="N115" s="56"/>
      <c r="O115" s="56"/>
      <c r="P115" s="56"/>
      <c r="Q115" s="56"/>
      <c r="R115" s="56"/>
      <c r="S115" s="61">
        <v>6.31</v>
      </c>
      <c r="T115" s="48">
        <f>ROUND((L115*I110+1.3*L115*K110+S115*H110),4)</f>
        <v>1513.4475</v>
      </c>
      <c r="U115" s="48">
        <f>ROUND((M115*0.9*I110+1.3*M115*0.9*K110+S115*H110),4)</f>
        <v>1624.2383</v>
      </c>
      <c r="V115" s="48">
        <f>ROUND((M115*I110+1.3*M115*K110+S115*H110),4)</f>
        <v>1762.6424999999999</v>
      </c>
      <c r="W115" s="48">
        <f>ROUND((L115*J110+1.3*L115*N110+S115*G110),4)</f>
        <v>128.85</v>
      </c>
      <c r="X115" s="48">
        <f>ROUND((M115*0.9*J110+1.3*M115*0.9*N110+S115*G110),4)</f>
        <v>137.733</v>
      </c>
      <c r="Y115" s="48">
        <f>ROUND((M115*J110+1.3*M115*N110+S115*G110),4)</f>
        <v>148.83000000000001</v>
      </c>
      <c r="Z115" s="49">
        <f>ROUND((P110*T115*F110*O110/1000000),4)</f>
        <v>9.0800000000000006E-2</v>
      </c>
      <c r="AA115" s="49">
        <f>ROUND((Q110*U115*F110*O110/1000000),4)</f>
        <v>0</v>
      </c>
      <c r="AB115" s="49">
        <f>ROUND((R110*V115*F110*O110/1000000),4)</f>
        <v>0</v>
      </c>
      <c r="AC115" s="50" t="s">
        <v>170</v>
      </c>
      <c r="AD115" s="51" t="s">
        <v>162</v>
      </c>
      <c r="AE115" s="44">
        <f>ROUND((((X115*E110)/1800)),4)</f>
        <v>7.6499999999999999E-2</v>
      </c>
      <c r="AF115" s="44">
        <f>ROUND(((Z115+AA115+AB115)),4)</f>
        <v>9.0800000000000006E-2</v>
      </c>
    </row>
    <row r="116" spans="1:33" ht="12.95" customHeight="1" x14ac:dyDescent="0.25">
      <c r="A116" s="52"/>
      <c r="B116" s="67" t="s">
        <v>220</v>
      </c>
      <c r="C116" s="46">
        <v>7</v>
      </c>
      <c r="D116" s="45" t="s">
        <v>217</v>
      </c>
      <c r="E116" s="45">
        <v>1</v>
      </c>
      <c r="F116" s="45">
        <v>4</v>
      </c>
      <c r="G116" s="45">
        <v>6</v>
      </c>
      <c r="H116" s="45">
        <v>60</v>
      </c>
      <c r="I116" s="45">
        <f>(8-1-0.75*2)*60*F116-K116-8*0.12*60</f>
        <v>404.4</v>
      </c>
      <c r="J116" s="45">
        <v>14</v>
      </c>
      <c r="K116" s="45">
        <f>(8-1-0.75*2)*0.65*60*F116</f>
        <v>858</v>
      </c>
      <c r="L116" s="48">
        <v>10.16</v>
      </c>
      <c r="M116" s="48">
        <v>10.16</v>
      </c>
      <c r="N116" s="45">
        <v>10</v>
      </c>
      <c r="O116" s="45">
        <f>E116/F116</f>
        <v>0.25</v>
      </c>
      <c r="P116" s="45">
        <v>60</v>
      </c>
      <c r="Q116" s="45">
        <v>30</v>
      </c>
      <c r="R116" s="47">
        <v>0</v>
      </c>
      <c r="S116" s="47">
        <v>1.99</v>
      </c>
      <c r="T116" s="48">
        <f>ROUND((L116*I116+1.3*L116*K116+S116*H116),4)</f>
        <v>15560.567999999999</v>
      </c>
      <c r="U116" s="48">
        <f>ROUND((M116*I116+1.3*M116*K116+S116*H116),4)</f>
        <v>15560.567999999999</v>
      </c>
      <c r="V116" s="48">
        <f>ROUND((M116*I116+1.3*M116*K116+S116*H116),4)</f>
        <v>15560.567999999999</v>
      </c>
      <c r="W116" s="48">
        <f>ROUND((L116*J116+1.3*L116*N116+S116*G116),4)</f>
        <v>286.26</v>
      </c>
      <c r="X116" s="48">
        <f>ROUND((M116*J116+1.3*M116*N116+S116*G116),4)</f>
        <v>286.26</v>
      </c>
      <c r="Y116" s="48">
        <f>ROUND((M116*J116+1.3*M116*N116+S116*G116),4)</f>
        <v>286.26</v>
      </c>
      <c r="Z116" s="49">
        <f>ROUND((P116*T116*F116*O116/1000000),4)</f>
        <v>0.93359999999999999</v>
      </c>
      <c r="AA116" s="49">
        <f>ROUND((Q116*U116*F116*O116/1000000),4)</f>
        <v>0.46679999999999999</v>
      </c>
      <c r="AB116" s="49">
        <f>ROUND((R116*V116*F116*O116/1000000),4)</f>
        <v>0</v>
      </c>
      <c r="AC116" s="50" t="s">
        <v>200</v>
      </c>
      <c r="AD116" s="51" t="s">
        <v>153</v>
      </c>
      <c r="AE116" s="44">
        <f>ROUND((((X116*E116)/1800)*0.8),4)</f>
        <v>0.12720000000000001</v>
      </c>
      <c r="AF116" s="44">
        <f>ROUND(((Z116+AA116+AB116)*0.8),4)</f>
        <v>1.1203000000000001</v>
      </c>
    </row>
    <row r="117" spans="1:33" ht="12.95" customHeight="1" x14ac:dyDescent="0.25">
      <c r="A117" s="52"/>
      <c r="B117" s="53" t="s">
        <v>221</v>
      </c>
      <c r="C117" s="52"/>
      <c r="D117" s="52"/>
      <c r="E117" s="52"/>
      <c r="F117" s="63"/>
      <c r="G117" s="52"/>
      <c r="H117" s="52"/>
      <c r="I117" s="52"/>
      <c r="J117" s="52"/>
      <c r="K117" s="52"/>
      <c r="L117" s="56"/>
      <c r="M117" s="56"/>
      <c r="N117" s="52"/>
      <c r="O117" s="52"/>
      <c r="P117" s="52"/>
      <c r="Q117" s="52"/>
      <c r="R117" s="52"/>
      <c r="S117" s="57"/>
      <c r="T117" s="54"/>
      <c r="U117" s="54"/>
      <c r="V117" s="54"/>
      <c r="W117" s="54"/>
      <c r="X117" s="54"/>
      <c r="Y117" s="54"/>
      <c r="Z117" s="54"/>
      <c r="AA117" s="54"/>
      <c r="AB117" s="54"/>
      <c r="AC117" s="50" t="s">
        <v>201</v>
      </c>
      <c r="AD117" s="51" t="s">
        <v>202</v>
      </c>
      <c r="AE117" s="44">
        <f>ROUND((((X116*E116)/1800)*0.13),4)</f>
        <v>2.07E-2</v>
      </c>
      <c r="AF117" s="44">
        <f>ROUND(((Z116+AA116+AB116)*0.13),4)</f>
        <v>0.18210000000000001</v>
      </c>
    </row>
    <row r="118" spans="1:33" ht="12.95" customHeight="1" x14ac:dyDescent="0.25">
      <c r="A118" s="52"/>
      <c r="B118" s="88"/>
      <c r="C118" s="55"/>
      <c r="D118" s="55"/>
      <c r="E118" s="52"/>
      <c r="F118" s="63"/>
      <c r="G118" s="52"/>
      <c r="H118" s="52"/>
      <c r="I118" s="52"/>
      <c r="J118" s="52"/>
      <c r="K118" s="52"/>
      <c r="L118" s="59">
        <v>0.8</v>
      </c>
      <c r="M118" s="59">
        <v>0.98</v>
      </c>
      <c r="N118" s="52"/>
      <c r="O118" s="52"/>
      <c r="P118" s="52"/>
      <c r="Q118" s="52"/>
      <c r="R118" s="52"/>
      <c r="S118" s="60">
        <v>0.39</v>
      </c>
      <c r="T118" s="48">
        <f>ROUND((L118*I116+1.3*L118*K116+S118*H116),4)</f>
        <v>1239.24</v>
      </c>
      <c r="U118" s="48">
        <f>ROUND((M118*0.9*I116+1.3*M118*0.9*K116+S118*H116),4)</f>
        <v>1363.8635999999999</v>
      </c>
      <c r="V118" s="48">
        <f>ROUND((M118*I116+1.3*M118*K116+S118*H116),4)</f>
        <v>1512.8040000000001</v>
      </c>
      <c r="W118" s="48">
        <f>ROUND((L118*J116+1.3*L118*N116+S118*G116),4)</f>
        <v>23.94</v>
      </c>
      <c r="X118" s="48">
        <f>ROUND((M118*0.9*J116+1.3*M118*0.9*N116+S118*G116),4)</f>
        <v>26.154</v>
      </c>
      <c r="Y118" s="48">
        <f>ROUND((M118*J116+1.3*M118*N116+S118*G116),4)</f>
        <v>28.8</v>
      </c>
      <c r="Z118" s="49">
        <f>ROUND((P116*T118*F116*O116/1000000),4)</f>
        <v>7.4399999999999994E-2</v>
      </c>
      <c r="AA118" s="49">
        <f>ROUND((Q116*U118*F116*O116/1000000),4)</f>
        <v>4.0899999999999999E-2</v>
      </c>
      <c r="AB118" s="49">
        <f>ROUND((R116*V118*F116*O116/1000000),4)</f>
        <v>0</v>
      </c>
      <c r="AC118" s="50" t="s">
        <v>203</v>
      </c>
      <c r="AD118" s="51" t="s">
        <v>204</v>
      </c>
      <c r="AE118" s="44">
        <f>ROUND((((X118*E116)/1800)),4)</f>
        <v>1.4500000000000001E-2</v>
      </c>
      <c r="AF118" s="44">
        <f>ROUND(((Z118+AA118+AB118)),5)</f>
        <v>0.1153</v>
      </c>
    </row>
    <row r="119" spans="1:33" ht="12.95" customHeight="1" x14ac:dyDescent="0.25">
      <c r="A119" s="52"/>
      <c r="B119" s="88"/>
      <c r="C119" s="52"/>
      <c r="D119" s="52"/>
      <c r="E119" s="52"/>
      <c r="F119" s="63"/>
      <c r="G119" s="52"/>
      <c r="H119" s="52"/>
      <c r="I119" s="52"/>
      <c r="J119" s="52"/>
      <c r="K119" s="52"/>
      <c r="L119" s="59">
        <v>1.79</v>
      </c>
      <c r="M119" s="59">
        <v>2.15</v>
      </c>
      <c r="N119" s="52"/>
      <c r="O119" s="52"/>
      <c r="P119" s="52"/>
      <c r="Q119" s="52"/>
      <c r="R119" s="52"/>
      <c r="S119" s="61">
        <v>1.24</v>
      </c>
      <c r="T119" s="48">
        <f>ROUND((L119*I116+1.3*L119*K116+S119*H116),4)</f>
        <v>2794.8420000000001</v>
      </c>
      <c r="U119" s="48">
        <f>ROUND((M119*0.9*I116+1.3*M119*0.9*K116+S119*H116),4)</f>
        <v>3015.2130000000002</v>
      </c>
      <c r="V119" s="48">
        <f>ROUND((M119*I116+1.3*M119*K116+S119*H116),4)</f>
        <v>3341.97</v>
      </c>
      <c r="W119" s="48">
        <f>ROUND((L119*J116+1.3*L119*N116+S119*G116),4)</f>
        <v>55.77</v>
      </c>
      <c r="X119" s="48">
        <f>ROUND((M119*0.9*J116+1.3*M119*0.9*N116+S119*G116),4)</f>
        <v>59.685000000000002</v>
      </c>
      <c r="Y119" s="48">
        <f>ROUND((M119*J116+1.3*N116+S119*G116),4)</f>
        <v>50.54</v>
      </c>
      <c r="Z119" s="49">
        <f>ROUND((P116*T119*F116*O116/1000000),4)</f>
        <v>0.16769999999999999</v>
      </c>
      <c r="AA119" s="49">
        <f>ROUND((Q116*U119*F116*O116/1000000),4)</f>
        <v>9.0499999999999997E-2</v>
      </c>
      <c r="AB119" s="49">
        <f>ROUND((R116*V119*F116*O116/1000000),4)</f>
        <v>0</v>
      </c>
      <c r="AC119" s="50" t="s">
        <v>205</v>
      </c>
      <c r="AD119" s="51" t="s">
        <v>206</v>
      </c>
      <c r="AE119" s="44">
        <f>ROUND((((X119*E116)/1800)),4)</f>
        <v>3.32E-2</v>
      </c>
      <c r="AF119" s="44">
        <f>ROUND(((Z119+AA119+AB119)),4)</f>
        <v>0.25819999999999999</v>
      </c>
    </row>
    <row r="120" spans="1:33" ht="12.95" customHeight="1" x14ac:dyDescent="0.25">
      <c r="A120" s="52"/>
      <c r="B120" s="53"/>
      <c r="C120" s="52"/>
      <c r="D120" s="52"/>
      <c r="E120" s="52"/>
      <c r="F120" s="63"/>
      <c r="G120" s="52"/>
      <c r="H120" s="52"/>
      <c r="I120" s="52"/>
      <c r="J120" s="52"/>
      <c r="K120" s="52"/>
      <c r="L120" s="59">
        <v>1.1299999999999999</v>
      </c>
      <c r="M120" s="59">
        <v>1.7</v>
      </c>
      <c r="N120" s="52"/>
      <c r="O120" s="52"/>
      <c r="P120" s="52"/>
      <c r="Q120" s="52"/>
      <c r="R120" s="52"/>
      <c r="S120" s="61">
        <v>0.26</v>
      </c>
      <c r="T120" s="48">
        <f>ROUND((L120*I116+1.3*L120*K116+S120*H116),4)</f>
        <v>1732.9739999999999</v>
      </c>
      <c r="U120" s="48">
        <f>ROUND((M120*0.9*I116+1.3*M120*0.9*K116+S120*H116),4)</f>
        <v>2340.8939999999998</v>
      </c>
      <c r="V120" s="48">
        <f>ROUND((M120*I116+1.3*M120*K116+S120*H116),4)</f>
        <v>2599.2600000000002</v>
      </c>
      <c r="W120" s="48">
        <f>ROUND((L120*J116+1.3*L120*N116+S120*G116),4)</f>
        <v>32.07</v>
      </c>
      <c r="X120" s="48">
        <f>ROUND((M120*0.9*J116+1.3*M120*0.9*N116+S120*G116),4)</f>
        <v>42.87</v>
      </c>
      <c r="Y120" s="48">
        <f>ROUND((M120*J116+1.3*M120*N116+S120*G116),4)</f>
        <v>47.46</v>
      </c>
      <c r="Z120" s="49">
        <f>ROUND((P116*T120*F116*O116/1000000),4)</f>
        <v>0.104</v>
      </c>
      <c r="AA120" s="49">
        <f>ROUND((Q116*U120*F116*O116/1000000),4)</f>
        <v>7.0199999999999999E-2</v>
      </c>
      <c r="AB120" s="49">
        <f>ROUND((R116*V120*F116*O116/1000000),4)</f>
        <v>0</v>
      </c>
      <c r="AC120" s="50" t="s">
        <v>250</v>
      </c>
      <c r="AD120" s="51" t="s">
        <v>208</v>
      </c>
      <c r="AE120" s="44">
        <f>ROUND((((X120*E116)/1800)),4)</f>
        <v>2.3800000000000002E-2</v>
      </c>
      <c r="AF120" s="44">
        <f>ROUND(((Z120+AA120+AB120)),4)</f>
        <v>0.17419999999999999</v>
      </c>
    </row>
    <row r="121" spans="1:33" ht="12.95" customHeight="1" x14ac:dyDescent="0.25">
      <c r="A121" s="52"/>
      <c r="B121" s="62"/>
      <c r="C121" s="56"/>
      <c r="D121" s="56"/>
      <c r="E121" s="56"/>
      <c r="F121" s="66"/>
      <c r="G121" s="56"/>
      <c r="H121" s="56"/>
      <c r="I121" s="56"/>
      <c r="J121" s="56"/>
      <c r="K121" s="56"/>
      <c r="L121" s="59">
        <v>5.3</v>
      </c>
      <c r="M121" s="59">
        <v>6.47</v>
      </c>
      <c r="N121" s="56"/>
      <c r="O121" s="56"/>
      <c r="P121" s="56"/>
      <c r="Q121" s="56"/>
      <c r="R121" s="56"/>
      <c r="S121" s="61">
        <v>9.92</v>
      </c>
      <c r="T121" s="48">
        <f>ROUND((L121*I116+1.3*L121*K116+S121*H116),4)</f>
        <v>8650.14</v>
      </c>
      <c r="U121" s="48">
        <f>ROUND((M121*0.9*I116+1.3*M121*0.9*K116+S121*H116),4)</f>
        <v>9444.9953999999998</v>
      </c>
      <c r="V121" s="48">
        <f>ROUND((M121*I116+1.3*M121*K116+S121*H116),4)</f>
        <v>10428.306</v>
      </c>
      <c r="W121" s="48">
        <f>ROUND((L121*J116+1.3*L121*N116+S121*G116),4)</f>
        <v>202.62</v>
      </c>
      <c r="X121" s="48">
        <f>ROUND((M121*0.9*J116+1.3*M121*0.9*N116+S121*G116),4)</f>
        <v>216.74100000000001</v>
      </c>
      <c r="Y121" s="48">
        <f>ROUND((M121*J116+1.3*M121*N116+S121*G116),4)</f>
        <v>234.21</v>
      </c>
      <c r="Z121" s="49">
        <f>ROUND((P116*T121*F116*O116/1000000),4)</f>
        <v>0.51900000000000002</v>
      </c>
      <c r="AA121" s="49">
        <f>ROUND((Q116*U121*F116*O116/1000000),4)</f>
        <v>0.2833</v>
      </c>
      <c r="AB121" s="49">
        <f>ROUND((R116*V121*F116*O116/1000000),4)</f>
        <v>0</v>
      </c>
      <c r="AC121" s="50" t="s">
        <v>170</v>
      </c>
      <c r="AD121" s="51" t="s">
        <v>162</v>
      </c>
      <c r="AE121" s="44">
        <f>ROUND((((X121*E116)/1800)),4)</f>
        <v>0.12039999999999999</v>
      </c>
      <c r="AF121" s="44">
        <f>ROUND(((Z121+AA121+AB121)),4)</f>
        <v>0.80230000000000001</v>
      </c>
    </row>
    <row r="122" spans="1:33" ht="12.95" customHeight="1" x14ac:dyDescent="0.25">
      <c r="A122" s="89"/>
      <c r="B122" s="46" t="s">
        <v>236</v>
      </c>
      <c r="C122" s="46">
        <v>6</v>
      </c>
      <c r="D122" s="45" t="s">
        <v>210</v>
      </c>
      <c r="E122" s="45">
        <v>1</v>
      </c>
      <c r="F122" s="45">
        <v>1</v>
      </c>
      <c r="G122" s="45">
        <v>6</v>
      </c>
      <c r="H122" s="45">
        <v>60</v>
      </c>
      <c r="I122" s="45">
        <f>(8-1-0.75*2)*60*F122-K122-8*0.12*60</f>
        <v>57.900000000000006</v>
      </c>
      <c r="J122" s="45">
        <v>14</v>
      </c>
      <c r="K122" s="45">
        <f>(8-1-0.75*2)*0.65*60*F122</f>
        <v>214.5</v>
      </c>
      <c r="L122" s="48">
        <v>6.47</v>
      </c>
      <c r="M122" s="48">
        <v>6.47</v>
      </c>
      <c r="N122" s="45">
        <v>10</v>
      </c>
      <c r="O122" s="45">
        <f>E122/F122</f>
        <v>1</v>
      </c>
      <c r="P122" s="45">
        <v>30</v>
      </c>
      <c r="Q122" s="45">
        <v>30</v>
      </c>
      <c r="R122" s="47">
        <v>0</v>
      </c>
      <c r="S122" s="47">
        <v>1.27</v>
      </c>
      <c r="T122" s="48">
        <f>ROUND((L122*I122+1.3*L122*K122+S122*H122),4)</f>
        <v>2254.9724999999999</v>
      </c>
      <c r="U122" s="48">
        <f>ROUND((M122*I122+1.3*M122*K122+S122*H122),4)</f>
        <v>2254.9724999999999</v>
      </c>
      <c r="V122" s="48">
        <f>ROUND((M122*I122+1.3*M122*K122+S122*H122),4)</f>
        <v>2254.9724999999999</v>
      </c>
      <c r="W122" s="48">
        <f>ROUND((L122*J122+1.3*L122*N122+S122*G122),4)</f>
        <v>182.31</v>
      </c>
      <c r="X122" s="48">
        <f>ROUND((M122*J122+1.3*M122*N122+S122*G122),4)</f>
        <v>182.31</v>
      </c>
      <c r="Y122" s="48">
        <f>ROUND((M122*J122+1.3*M122*N122+S122*G122),4)</f>
        <v>182.31</v>
      </c>
      <c r="Z122" s="49">
        <f>ROUND((P122*T122*F122*O122/1000000),4)</f>
        <v>6.7599999999999993E-2</v>
      </c>
      <c r="AA122" s="49">
        <f>ROUND((Q122*U122*F122*O122/1000000),4)</f>
        <v>6.7599999999999993E-2</v>
      </c>
      <c r="AB122" s="49">
        <f>ROUND((R122*V122*F122*O122/1000000),4)</f>
        <v>0</v>
      </c>
      <c r="AC122" s="50" t="s">
        <v>200</v>
      </c>
      <c r="AD122" s="51" t="s">
        <v>153</v>
      </c>
      <c r="AE122" s="44">
        <f>ROUND((((X122*E122)/1800)*0.8),4)</f>
        <v>8.1000000000000003E-2</v>
      </c>
      <c r="AF122" s="44">
        <f>ROUND(((Z122+AA122+AB122)*0.8),4)</f>
        <v>0.1082</v>
      </c>
    </row>
    <row r="123" spans="1:33" ht="12.95" customHeight="1" x14ac:dyDescent="0.25">
      <c r="A123" s="89"/>
      <c r="B123" s="53" t="s">
        <v>237</v>
      </c>
      <c r="C123" s="52"/>
      <c r="D123" s="52"/>
      <c r="E123" s="52"/>
      <c r="F123" s="63"/>
      <c r="G123" s="52"/>
      <c r="H123" s="52"/>
      <c r="I123" s="52"/>
      <c r="J123" s="52"/>
      <c r="K123" s="52"/>
      <c r="L123" s="56"/>
      <c r="M123" s="56"/>
      <c r="N123" s="52"/>
      <c r="O123" s="52"/>
      <c r="P123" s="52"/>
      <c r="Q123" s="52"/>
      <c r="R123" s="52"/>
      <c r="S123" s="57"/>
      <c r="T123" s="54"/>
      <c r="U123" s="54"/>
      <c r="V123" s="54"/>
      <c r="W123" s="54"/>
      <c r="X123" s="54"/>
      <c r="Y123" s="54"/>
      <c r="Z123" s="54"/>
      <c r="AA123" s="54"/>
      <c r="AB123" s="54"/>
      <c r="AC123" s="50" t="s">
        <v>201</v>
      </c>
      <c r="AD123" s="51" t="s">
        <v>202</v>
      </c>
      <c r="AE123" s="44">
        <f>ROUND((((X122*E122)/1800)*0.13),4)</f>
        <v>1.32E-2</v>
      </c>
      <c r="AF123" s="44">
        <f>ROUND(((Z122+AA122+AB122)*0.13),4)</f>
        <v>1.7600000000000001E-2</v>
      </c>
    </row>
    <row r="124" spans="1:33" ht="12.95" customHeight="1" x14ac:dyDescent="0.25">
      <c r="A124" s="89"/>
      <c r="B124" s="67"/>
      <c r="C124" s="55"/>
      <c r="D124" s="55"/>
      <c r="E124" s="52"/>
      <c r="F124" s="63"/>
      <c r="G124" s="52"/>
      <c r="H124" s="52"/>
      <c r="I124" s="52"/>
      <c r="J124" s="52"/>
      <c r="K124" s="52"/>
      <c r="L124" s="59">
        <v>0.51</v>
      </c>
      <c r="M124" s="59">
        <v>0.63</v>
      </c>
      <c r="N124" s="52"/>
      <c r="O124" s="52"/>
      <c r="P124" s="52"/>
      <c r="Q124" s="52"/>
      <c r="R124" s="52"/>
      <c r="S124" s="60">
        <v>0.25</v>
      </c>
      <c r="T124" s="48">
        <f>ROUND((L124*I122+1.3*L124*K122+S124*H122),4)</f>
        <v>186.74250000000001</v>
      </c>
      <c r="U124" s="48">
        <f>ROUND((M124*0.9*I122+1.3*M124*0.9*K122+S124*H122),4)</f>
        <v>205.93729999999999</v>
      </c>
      <c r="V124" s="48">
        <f>ROUND((M124*I122+1.3*M124*K122+S124*H122),4)</f>
        <v>227.1525</v>
      </c>
      <c r="W124" s="48">
        <f>ROUND((L124*J122+1.3*L124*N122+S124*G122),4)</f>
        <v>15.27</v>
      </c>
      <c r="X124" s="48">
        <f>ROUND((M124*0.9*J122+1.3*M124*0.9*N122+S124*G122),4)</f>
        <v>16.809000000000001</v>
      </c>
      <c r="Y124" s="48">
        <f>ROUND((M124*J122+1.3*M124*N122+S124*G122),4)</f>
        <v>18.510000000000002</v>
      </c>
      <c r="Z124" s="49">
        <f>ROUND((P122*T124*F122*O122/1000000),4)</f>
        <v>5.5999999999999999E-3</v>
      </c>
      <c r="AA124" s="49">
        <f>ROUND((Q122*U124*F122*O122/1000000),4)</f>
        <v>6.1999999999999998E-3</v>
      </c>
      <c r="AB124" s="49">
        <f>ROUND((R122*V124*F122*O122/1000000),4)</f>
        <v>0</v>
      </c>
      <c r="AC124" s="50" t="s">
        <v>203</v>
      </c>
      <c r="AD124" s="51" t="s">
        <v>204</v>
      </c>
      <c r="AE124" s="44">
        <f>ROUND((((X124*E122)/1800)),4)</f>
        <v>9.2999999999999992E-3</v>
      </c>
      <c r="AF124" s="44">
        <f>ROUND(((Z124+AA124+AB124)),5)</f>
        <v>1.18E-2</v>
      </c>
    </row>
    <row r="125" spans="1:33" ht="12.95" customHeight="1" x14ac:dyDescent="0.25">
      <c r="A125" s="89"/>
      <c r="B125" s="53"/>
      <c r="C125" s="52"/>
      <c r="D125" s="52"/>
      <c r="E125" s="52"/>
      <c r="F125" s="63"/>
      <c r="G125" s="52"/>
      <c r="H125" s="52"/>
      <c r="I125" s="52"/>
      <c r="J125" s="52"/>
      <c r="K125" s="52"/>
      <c r="L125" s="59">
        <v>1.1399999999999999</v>
      </c>
      <c r="M125" s="59">
        <v>1.37</v>
      </c>
      <c r="N125" s="52"/>
      <c r="O125" s="52"/>
      <c r="P125" s="52"/>
      <c r="Q125" s="52"/>
      <c r="R125" s="52"/>
      <c r="S125" s="61">
        <v>0.79</v>
      </c>
      <c r="T125" s="48">
        <f>ROUND((L125*I122+1.3*L125*K122+S125*H122),4)</f>
        <v>431.29500000000002</v>
      </c>
      <c r="U125" s="48">
        <f>ROUND((M125*0.9*I122+1.3*M125*0.9*K122+S125*H122),4)</f>
        <v>462.61279999999999</v>
      </c>
      <c r="V125" s="48">
        <f>ROUND((M125*I122+1.3*M125*K122+S125*H122),4)</f>
        <v>508.7475</v>
      </c>
      <c r="W125" s="48">
        <f>ROUND((L125*J122+1.3*L125*N122+S125*G122),4)</f>
        <v>35.520000000000003</v>
      </c>
      <c r="X125" s="48">
        <f>ROUND((M125*0.9*J122+1.3*M125*0.9*N122+S125*G122),4)</f>
        <v>38.030999999999999</v>
      </c>
      <c r="Y125" s="48">
        <f>ROUND((M125*J122+1.3*N122+S125*G122),4)</f>
        <v>36.92</v>
      </c>
      <c r="Z125" s="49">
        <f>ROUND((P122*T125*F122*O122/1000000),4)</f>
        <v>1.29E-2</v>
      </c>
      <c r="AA125" s="49">
        <f>ROUND((Q122*U125*F122*O122/1000000),4)</f>
        <v>1.3899999999999999E-2</v>
      </c>
      <c r="AB125" s="49">
        <f>ROUND((R122*V125*F122*O122/1000000),4)</f>
        <v>0</v>
      </c>
      <c r="AC125" s="50" t="s">
        <v>205</v>
      </c>
      <c r="AD125" s="51" t="s">
        <v>206</v>
      </c>
      <c r="AE125" s="44">
        <f>ROUND((((X125*E122)/1800)),4)</f>
        <v>2.1100000000000001E-2</v>
      </c>
      <c r="AF125" s="44">
        <f>ROUND(((Z125+AA125+AB125)),4)</f>
        <v>2.6800000000000001E-2</v>
      </c>
    </row>
    <row r="126" spans="1:33" ht="12.95" customHeight="1" x14ac:dyDescent="0.25">
      <c r="A126" s="89"/>
      <c r="B126" s="53"/>
      <c r="C126" s="52"/>
      <c r="D126" s="52"/>
      <c r="E126" s="52"/>
      <c r="F126" s="63"/>
      <c r="G126" s="52"/>
      <c r="H126" s="52"/>
      <c r="I126" s="52"/>
      <c r="J126" s="52"/>
      <c r="K126" s="52"/>
      <c r="L126" s="59">
        <v>0.72</v>
      </c>
      <c r="M126" s="59">
        <v>1.08</v>
      </c>
      <c r="N126" s="52"/>
      <c r="O126" s="52"/>
      <c r="P126" s="52"/>
      <c r="Q126" s="52"/>
      <c r="R126" s="52"/>
      <c r="S126" s="61">
        <v>0.17</v>
      </c>
      <c r="T126" s="48">
        <f>ROUND((L126*I122+1.3*L126*K122+S126*H122),4)</f>
        <v>252.66</v>
      </c>
      <c r="U126" s="48">
        <f>ROUND((M126*0.9*I122+1.3*M126*0.9*K122+S126*H122),4)</f>
        <v>337.52100000000002</v>
      </c>
      <c r="V126" s="48">
        <f>ROUND((M126*I122+1.3*M126*K122+S126*H122),4)</f>
        <v>373.89</v>
      </c>
      <c r="W126" s="48">
        <f>ROUND((L126*J122+1.3*L126*N122+S126*G122),4)</f>
        <v>20.46</v>
      </c>
      <c r="X126" s="48">
        <f>ROUND((M126*0.9*J122+1.3*M126*0.9*N122+S126*G122),4)</f>
        <v>27.263999999999999</v>
      </c>
      <c r="Y126" s="48">
        <f>ROUND((M126*J122+1.3*M126*N122+S126*G122),4)</f>
        <v>30.18</v>
      </c>
      <c r="Z126" s="49">
        <f>ROUND((P122*T126*F122*O122/1000000),4)</f>
        <v>7.6E-3</v>
      </c>
      <c r="AA126" s="49">
        <f>ROUND((Q122*U126*F122*O122/1000000),4)</f>
        <v>1.01E-2</v>
      </c>
      <c r="AB126" s="49">
        <f>ROUND((R122*V126*F122*O122/1000000),4)</f>
        <v>0</v>
      </c>
      <c r="AC126" s="50" t="s">
        <v>250</v>
      </c>
      <c r="AD126" s="51" t="s">
        <v>208</v>
      </c>
      <c r="AE126" s="44">
        <f>ROUND((((X126*E122)/1800)),4)</f>
        <v>1.5100000000000001E-2</v>
      </c>
      <c r="AF126" s="44">
        <f>ROUND(((Z126+AA126+AB126)),4)</f>
        <v>1.77E-2</v>
      </c>
    </row>
    <row r="127" spans="1:33" ht="12.95" customHeight="1" x14ac:dyDescent="0.25">
      <c r="A127" s="89"/>
      <c r="B127" s="62"/>
      <c r="C127" s="56"/>
      <c r="D127" s="56"/>
      <c r="E127" s="56"/>
      <c r="F127" s="66"/>
      <c r="G127" s="56"/>
      <c r="H127" s="56"/>
      <c r="I127" s="56"/>
      <c r="J127" s="56"/>
      <c r="K127" s="56"/>
      <c r="L127" s="59">
        <v>3.37</v>
      </c>
      <c r="M127" s="59">
        <v>4.1100000000000003</v>
      </c>
      <c r="N127" s="56"/>
      <c r="O127" s="56"/>
      <c r="P127" s="56"/>
      <c r="Q127" s="56"/>
      <c r="R127" s="56"/>
      <c r="S127" s="61">
        <v>6.31</v>
      </c>
      <c r="T127" s="48">
        <f>ROUND((L127*I122+1.3*L127*K122+S127*H122),4)</f>
        <v>1513.4475</v>
      </c>
      <c r="U127" s="48">
        <f>ROUND((M127*0.9*I122+1.3*M127*0.9*K122+S127*H122),4)</f>
        <v>1624.2383</v>
      </c>
      <c r="V127" s="48">
        <f>ROUND((M127*I122+1.3*M127*K122+S127*H122),4)</f>
        <v>1762.6424999999999</v>
      </c>
      <c r="W127" s="48">
        <f>ROUND((L127*J122+1.3*L127*N122+S127*G122),4)</f>
        <v>128.85</v>
      </c>
      <c r="X127" s="48">
        <f>ROUND((M127*0.9*J122+1.3*M127*0.9*N122+S127*G122),4)</f>
        <v>137.733</v>
      </c>
      <c r="Y127" s="48">
        <f>ROUND((M127*J122+1.3*M127*N122+S127*G122),4)</f>
        <v>148.83000000000001</v>
      </c>
      <c r="Z127" s="49">
        <f>ROUND((P122*T127*F122*O122/1000000),4)</f>
        <v>4.5400000000000003E-2</v>
      </c>
      <c r="AA127" s="49">
        <f>ROUND((Q122*U127*F122*O122/1000000),4)</f>
        <v>4.87E-2</v>
      </c>
      <c r="AB127" s="49">
        <f>ROUND((R122*V127*F122*O122/1000000),4)</f>
        <v>0</v>
      </c>
      <c r="AC127" s="50" t="s">
        <v>170</v>
      </c>
      <c r="AD127" s="51" t="s">
        <v>162</v>
      </c>
      <c r="AE127" s="44">
        <f>ROUND((((X127*E122)/1800)),4)</f>
        <v>7.6499999999999999E-2</v>
      </c>
      <c r="AF127" s="44">
        <f>ROUND(((Z127+AA127+AB127)),4)</f>
        <v>9.4100000000000003E-2</v>
      </c>
    </row>
    <row r="128" spans="1:33" ht="12.95" customHeight="1" x14ac:dyDescent="0.25">
      <c r="A128" s="52"/>
      <c r="B128" s="46" t="s">
        <v>238</v>
      </c>
      <c r="C128" s="46">
        <v>5</v>
      </c>
      <c r="D128" s="45" t="s">
        <v>209</v>
      </c>
      <c r="E128" s="45">
        <v>1</v>
      </c>
      <c r="F128" s="45">
        <v>1</v>
      </c>
      <c r="G128" s="45">
        <v>6</v>
      </c>
      <c r="H128" s="45">
        <v>60</v>
      </c>
      <c r="I128" s="45">
        <f>(8-1-0.75*2)*60*F128-K128-8*0.12*60</f>
        <v>57.900000000000006</v>
      </c>
      <c r="J128" s="45">
        <v>14</v>
      </c>
      <c r="K128" s="45">
        <f>(8-1-0.75*2)*0.65*60*F128</f>
        <v>214.5</v>
      </c>
      <c r="L128" s="48">
        <v>4.01</v>
      </c>
      <c r="M128" s="48">
        <v>4.01</v>
      </c>
      <c r="N128" s="45">
        <v>10</v>
      </c>
      <c r="O128" s="45">
        <f>E128/F128</f>
        <v>1</v>
      </c>
      <c r="P128" s="45">
        <v>15</v>
      </c>
      <c r="Q128" s="45">
        <v>15</v>
      </c>
      <c r="R128" s="47">
        <v>0</v>
      </c>
      <c r="S128" s="47">
        <v>0.78</v>
      </c>
      <c r="T128" s="48">
        <f>ROUND((L128*I128+1.3*L128*K128+S128*H128),4)</f>
        <v>1397.1675</v>
      </c>
      <c r="U128" s="48">
        <f>ROUND((M128*I128+1.3*M128*K128+S128*H128),4)</f>
        <v>1397.1675</v>
      </c>
      <c r="V128" s="48">
        <f>ROUND((M128*I128+1.3*M128*K128+S128*H128),4)</f>
        <v>1397.1675</v>
      </c>
      <c r="W128" s="48">
        <f>ROUND((L128*J128+1.3*L128*N128+S128*G128),4)</f>
        <v>112.95</v>
      </c>
      <c r="X128" s="48">
        <f>ROUND((M128*J128+1.3*M128*N128+S128*G128),4)</f>
        <v>112.95</v>
      </c>
      <c r="Y128" s="48">
        <f>ROUND((M128*J128+1.3*M128*N128+S128*G128),4)</f>
        <v>112.95</v>
      </c>
      <c r="Z128" s="49">
        <f>ROUND((P128*T128*F128*O128/1000000),4)</f>
        <v>2.1000000000000001E-2</v>
      </c>
      <c r="AA128" s="49">
        <f>ROUND((Q128*U128*F128*O128/1000000),4)</f>
        <v>2.1000000000000001E-2</v>
      </c>
      <c r="AB128" s="49">
        <f>ROUND((R128*V128*F128*O128/1000000),4)</f>
        <v>0</v>
      </c>
      <c r="AC128" s="50" t="s">
        <v>200</v>
      </c>
      <c r="AD128" s="51" t="s">
        <v>153</v>
      </c>
      <c r="AE128" s="44">
        <f>ROUND((((X128*E128)/1800)*0.8),4)</f>
        <v>5.0200000000000002E-2</v>
      </c>
      <c r="AF128" s="44">
        <f>ROUND(((Z128+AA128+AB128)*0.8),4)</f>
        <v>3.3599999999999998E-2</v>
      </c>
      <c r="AG128" s="88"/>
    </row>
    <row r="129" spans="1:34" ht="12.95" customHeight="1" x14ac:dyDescent="0.25">
      <c r="A129" s="52"/>
      <c r="B129" s="73" t="s">
        <v>239</v>
      </c>
      <c r="C129" s="53"/>
      <c r="D129" s="52"/>
      <c r="E129" s="52"/>
      <c r="F129" s="63"/>
      <c r="G129" s="52"/>
      <c r="H129" s="52"/>
      <c r="I129" s="52"/>
      <c r="J129" s="52"/>
      <c r="K129" s="52"/>
      <c r="L129" s="56"/>
      <c r="M129" s="56"/>
      <c r="N129" s="52"/>
      <c r="O129" s="52"/>
      <c r="P129" s="52"/>
      <c r="Q129" s="52"/>
      <c r="R129" s="52"/>
      <c r="S129" s="57"/>
      <c r="T129" s="54"/>
      <c r="U129" s="54"/>
      <c r="V129" s="54"/>
      <c r="W129" s="54"/>
      <c r="X129" s="54"/>
      <c r="Y129" s="54"/>
      <c r="Z129" s="54"/>
      <c r="AA129" s="54"/>
      <c r="AB129" s="54"/>
      <c r="AC129" s="50" t="s">
        <v>201</v>
      </c>
      <c r="AD129" s="51" t="s">
        <v>202</v>
      </c>
      <c r="AE129" s="44">
        <f>ROUND((((X128*E128)/1800)*0.13),4)</f>
        <v>8.2000000000000007E-3</v>
      </c>
      <c r="AF129" s="44">
        <f>ROUND(((Z128+AA128+AB128)*0.13),4)</f>
        <v>5.4999999999999997E-3</v>
      </c>
      <c r="AG129" s="88"/>
    </row>
    <row r="130" spans="1:34" ht="12.95" customHeight="1" x14ac:dyDescent="0.25">
      <c r="A130" s="52"/>
      <c r="B130" s="53"/>
      <c r="C130" s="58"/>
      <c r="D130" s="55"/>
      <c r="E130" s="52"/>
      <c r="F130" s="63"/>
      <c r="G130" s="52"/>
      <c r="H130" s="52"/>
      <c r="I130" s="52"/>
      <c r="J130" s="52"/>
      <c r="K130" s="52"/>
      <c r="L130" s="59">
        <v>0.31</v>
      </c>
      <c r="M130" s="59">
        <v>0.38</v>
      </c>
      <c r="N130" s="52"/>
      <c r="O130" s="52"/>
      <c r="P130" s="52"/>
      <c r="Q130" s="52"/>
      <c r="R130" s="52"/>
      <c r="S130" s="60">
        <v>0.16</v>
      </c>
      <c r="T130" s="48">
        <f>ROUND((L130*I128+1.3*L130*K128+S130*H128),4)</f>
        <v>113.99250000000001</v>
      </c>
      <c r="U130" s="48">
        <f>ROUND((M130*0.9*I128+1.3*M130*0.9*K128+S130*H128),4)</f>
        <v>124.7685</v>
      </c>
      <c r="V130" s="48">
        <f>ROUND((M130*I128+1.3*M130*K128+S130*H128),4)</f>
        <v>137.565</v>
      </c>
      <c r="W130" s="48">
        <f>ROUND((L130*J128+1.3*L130*N128+S130*G128),4)</f>
        <v>9.33</v>
      </c>
      <c r="X130" s="48">
        <f>ROUND((M130*0.9*J128+1.3*M130*0.9*N128+S130*G128),4)</f>
        <v>10.194000000000001</v>
      </c>
      <c r="Y130" s="48">
        <f>ROUND((M130*J128+1.3*M130*N128+S130*G128),4)</f>
        <v>11.22</v>
      </c>
      <c r="Z130" s="49">
        <f>ROUND((P128*T130*F128*O128/1000000),4)</f>
        <v>1.6999999999999999E-3</v>
      </c>
      <c r="AA130" s="49">
        <f>ROUND((Q128*U130*F128*O128/1000000),4)</f>
        <v>1.9E-3</v>
      </c>
      <c r="AB130" s="49">
        <f>ROUND((R128*V130*F128*O128/1000000),4)</f>
        <v>0</v>
      </c>
      <c r="AC130" s="50" t="s">
        <v>203</v>
      </c>
      <c r="AD130" s="51" t="s">
        <v>204</v>
      </c>
      <c r="AE130" s="44">
        <f>ROUND((((X130*E128)/1800)),4)</f>
        <v>5.7000000000000002E-3</v>
      </c>
      <c r="AF130" s="44">
        <f>ROUND(((Z130+AA130+AB130)),5)</f>
        <v>3.5999999999999999E-3</v>
      </c>
      <c r="AG130" s="88"/>
    </row>
    <row r="131" spans="1:34" ht="12.95" customHeight="1" x14ac:dyDescent="0.25">
      <c r="A131" s="52"/>
      <c r="B131" s="53"/>
      <c r="C131" s="53"/>
      <c r="D131" s="52"/>
      <c r="E131" s="52"/>
      <c r="F131" s="63"/>
      <c r="G131" s="52"/>
      <c r="H131" s="52"/>
      <c r="I131" s="52"/>
      <c r="J131" s="52"/>
      <c r="K131" s="52"/>
      <c r="L131" s="59">
        <v>0.71</v>
      </c>
      <c r="M131" s="59">
        <v>0.85</v>
      </c>
      <c r="N131" s="52"/>
      <c r="O131" s="52"/>
      <c r="P131" s="52"/>
      <c r="Q131" s="52"/>
      <c r="R131" s="52"/>
      <c r="S131" s="61">
        <v>0.49</v>
      </c>
      <c r="T131" s="48">
        <f>ROUND((L131*I128+1.3*L131*K128+S131*H128),4)</f>
        <v>268.49250000000001</v>
      </c>
      <c r="U131" s="48">
        <f>ROUND((M131*0.9*I128+1.3*M131*0.9*K128+S131*H128),4)</f>
        <v>287.0138</v>
      </c>
      <c r="V131" s="48">
        <f>ROUND((M131*I128+1.3*M131*K128+S131*H128),4)</f>
        <v>315.63749999999999</v>
      </c>
      <c r="W131" s="48">
        <f>ROUND((L131*J128+1.3*L131*N128+S131*G128),4)</f>
        <v>22.11</v>
      </c>
      <c r="X131" s="48">
        <f>ROUND((M131*0.9*J128+1.3*M131*0.9*N128+S131*G128),4)</f>
        <v>23.594999999999999</v>
      </c>
      <c r="Y131" s="48">
        <f>ROUND((M131*J128+1.3*N128+S131*G128),4)</f>
        <v>27.84</v>
      </c>
      <c r="Z131" s="49">
        <f>ROUND((P128*T131*F128*O128/1000000),4)</f>
        <v>4.0000000000000001E-3</v>
      </c>
      <c r="AA131" s="49">
        <f>ROUND((Q128*U131*F128*O128/1000000),4)</f>
        <v>4.3E-3</v>
      </c>
      <c r="AB131" s="49">
        <f>ROUND((R128*V131*F128*O128/1000000),4)</f>
        <v>0</v>
      </c>
      <c r="AC131" s="50" t="s">
        <v>205</v>
      </c>
      <c r="AD131" s="51" t="s">
        <v>206</v>
      </c>
      <c r="AE131" s="44">
        <f>ROUND((((X131*E128)/1800)),4)</f>
        <v>1.3100000000000001E-2</v>
      </c>
      <c r="AF131" s="44">
        <f>ROUND(((Z131+AA131+AB131)),4)</f>
        <v>8.3000000000000001E-3</v>
      </c>
      <c r="AG131" s="88"/>
    </row>
    <row r="132" spans="1:34" ht="12.95" customHeight="1" x14ac:dyDescent="0.25">
      <c r="A132" s="52"/>
      <c r="B132" s="53"/>
      <c r="C132" s="53"/>
      <c r="D132" s="52"/>
      <c r="E132" s="52"/>
      <c r="F132" s="63"/>
      <c r="G132" s="52"/>
      <c r="H132" s="52"/>
      <c r="I132" s="52"/>
      <c r="J132" s="52"/>
      <c r="K132" s="52"/>
      <c r="L132" s="59">
        <v>0.45</v>
      </c>
      <c r="M132" s="59">
        <v>0.67</v>
      </c>
      <c r="N132" s="52"/>
      <c r="O132" s="52"/>
      <c r="P132" s="52"/>
      <c r="Q132" s="52"/>
      <c r="R132" s="52"/>
      <c r="S132" s="61">
        <v>0.1</v>
      </c>
      <c r="T132" s="48">
        <f>ROUND((L132*I128+1.3*L132*K128+S132*H128),4)</f>
        <v>157.53749999999999</v>
      </c>
      <c r="U132" s="48">
        <f>ROUND((M132*0.9*I128+1.3*M132*0.9*K128+S132*H128),4)</f>
        <v>209.06030000000001</v>
      </c>
      <c r="V132" s="48">
        <f>ROUND((M132*I128+1.3*M132*K128+S132*H128),4)</f>
        <v>231.6225</v>
      </c>
      <c r="W132" s="48">
        <f>ROUND((L132*J128+1.3*L132*N128+S132*G128),4)</f>
        <v>12.75</v>
      </c>
      <c r="X132" s="48">
        <f>ROUND((M132*0.9*J128+1.3*M132*0.9*N128+S132*G128),4)</f>
        <v>16.881</v>
      </c>
      <c r="Y132" s="48">
        <f>ROUND((M132*J128+1.3*M132*N128+S132*G128),4)</f>
        <v>18.690000000000001</v>
      </c>
      <c r="Z132" s="49">
        <f>ROUND((P128*T132*F128*O128/1000000),4)</f>
        <v>2.3999999999999998E-3</v>
      </c>
      <c r="AA132" s="49">
        <f>ROUND((Q128*U132*F128*O128/1000000),4)</f>
        <v>3.0999999999999999E-3</v>
      </c>
      <c r="AB132" s="49">
        <f>ROUND((R128*V132*F128*O128/1000000),4)</f>
        <v>0</v>
      </c>
      <c r="AC132" s="50" t="s">
        <v>250</v>
      </c>
      <c r="AD132" s="51" t="s">
        <v>208</v>
      </c>
      <c r="AE132" s="44">
        <f>ROUND((((X132*E128)/1800)),4)</f>
        <v>9.4000000000000004E-3</v>
      </c>
      <c r="AF132" s="44">
        <f>ROUND(((Z132+AA132+AB132)),4)</f>
        <v>5.4999999999999997E-3</v>
      </c>
      <c r="AG132" s="88"/>
    </row>
    <row r="133" spans="1:34" ht="12.95" customHeight="1" x14ac:dyDescent="0.25">
      <c r="A133" s="52"/>
      <c r="B133" s="62"/>
      <c r="C133" s="62"/>
      <c r="D133" s="56"/>
      <c r="E133" s="56"/>
      <c r="F133" s="66"/>
      <c r="G133" s="56"/>
      <c r="H133" s="56"/>
      <c r="I133" s="56"/>
      <c r="J133" s="56"/>
      <c r="K133" s="56"/>
      <c r="L133" s="59">
        <v>2.09</v>
      </c>
      <c r="M133" s="59">
        <v>2.5499999999999998</v>
      </c>
      <c r="N133" s="56"/>
      <c r="O133" s="56"/>
      <c r="P133" s="56"/>
      <c r="Q133" s="56"/>
      <c r="R133" s="56"/>
      <c r="S133" s="61">
        <v>3.91</v>
      </c>
      <c r="T133" s="48">
        <f>ROUND((L133*I128+1.3*L133*K128+S133*H128),4)</f>
        <v>938.40750000000003</v>
      </c>
      <c r="U133" s="48">
        <f>ROUND((M133*0.9*I128+1.3*M133*0.9*K128+S133*H128),4)</f>
        <v>1007.4413</v>
      </c>
      <c r="V133" s="48">
        <f>ROUND((M133*I128+1.3*M133*K128+S133*H128),4)</f>
        <v>1093.3125</v>
      </c>
      <c r="W133" s="48">
        <f>ROUND((L133*J128+1.3*L133*N128+S133*G128),4)</f>
        <v>79.89</v>
      </c>
      <c r="X133" s="48">
        <f>ROUND((M133*0.9*J128+1.3*M133*0.9*N128+S133*G128),4)</f>
        <v>85.424999999999997</v>
      </c>
      <c r="Y133" s="48">
        <f>ROUND((M133*J128+1.3*M133*N128+S133*G128),4)</f>
        <v>92.31</v>
      </c>
      <c r="Z133" s="49">
        <f>ROUND((P128*T133*F128*O128/1000000),4)</f>
        <v>1.41E-2</v>
      </c>
      <c r="AA133" s="49">
        <f>ROUND((Q128*U133*F128*O128/1000000),4)</f>
        <v>1.5100000000000001E-2</v>
      </c>
      <c r="AB133" s="49">
        <f>ROUND((R128*V133*F128*O128/1000000),4)</f>
        <v>0</v>
      </c>
      <c r="AC133" s="50" t="s">
        <v>170</v>
      </c>
      <c r="AD133" s="51" t="s">
        <v>162</v>
      </c>
      <c r="AE133" s="44">
        <f>ROUND((((X133*E128)/1800)),4)</f>
        <v>4.7500000000000001E-2</v>
      </c>
      <c r="AF133" s="44">
        <f>ROUND(((Z133+AA133+AB133)),4)</f>
        <v>2.92E-2</v>
      </c>
      <c r="AG133" s="88"/>
    </row>
    <row r="134" spans="1:34" ht="12.95" customHeight="1" x14ac:dyDescent="0.25">
      <c r="A134" s="89"/>
      <c r="B134" s="46" t="s">
        <v>240</v>
      </c>
      <c r="C134" s="46">
        <v>6</v>
      </c>
      <c r="D134" s="45" t="s">
        <v>210</v>
      </c>
      <c r="E134" s="45">
        <v>1</v>
      </c>
      <c r="F134" s="45">
        <v>1</v>
      </c>
      <c r="G134" s="45">
        <v>6</v>
      </c>
      <c r="H134" s="45">
        <v>60</v>
      </c>
      <c r="I134" s="45">
        <f>(8-1-0.75*2)*60*F134-K134-8*0.12*60</f>
        <v>57.900000000000006</v>
      </c>
      <c r="J134" s="45">
        <v>14</v>
      </c>
      <c r="K134" s="45">
        <f>(8-1-0.75*2)*0.65*60*F134</f>
        <v>214.5</v>
      </c>
      <c r="L134" s="48">
        <v>6.47</v>
      </c>
      <c r="M134" s="48">
        <v>6.47</v>
      </c>
      <c r="N134" s="45">
        <v>10</v>
      </c>
      <c r="O134" s="45">
        <f>E134/F134</f>
        <v>1</v>
      </c>
      <c r="P134" s="45">
        <v>15</v>
      </c>
      <c r="Q134" s="45">
        <v>15</v>
      </c>
      <c r="R134" s="47">
        <v>0</v>
      </c>
      <c r="S134" s="47">
        <v>1.27</v>
      </c>
      <c r="T134" s="48">
        <f>ROUND((L134*I134+1.3*L134*K134+S134*H134),4)</f>
        <v>2254.9724999999999</v>
      </c>
      <c r="U134" s="48">
        <f>ROUND((M134*I134+1.3*M134*K134+S134*H134),4)</f>
        <v>2254.9724999999999</v>
      </c>
      <c r="V134" s="48">
        <f>ROUND((M134*I134+1.3*M134*K134+S134*H134),4)</f>
        <v>2254.9724999999999</v>
      </c>
      <c r="W134" s="48">
        <f>ROUND((L134*J134+1.3*L134*N134+S134*G134),4)</f>
        <v>182.31</v>
      </c>
      <c r="X134" s="48">
        <f>ROUND((M134*J134+1.3*M134*N134+S134*G134),4)</f>
        <v>182.31</v>
      </c>
      <c r="Y134" s="48">
        <f>ROUND((M134*J134+1.3*M134*N134+S134*G134),4)</f>
        <v>182.31</v>
      </c>
      <c r="Z134" s="49">
        <f>ROUND((P134*T134*F134*O134/1000000),4)</f>
        <v>3.3799999999999997E-2</v>
      </c>
      <c r="AA134" s="49">
        <f>ROUND((Q134*U134*F134*O134/1000000),4)</f>
        <v>3.3799999999999997E-2</v>
      </c>
      <c r="AB134" s="49">
        <f>ROUND((R134*V134*F134*O134/1000000),4)</f>
        <v>0</v>
      </c>
      <c r="AC134" s="50" t="s">
        <v>200</v>
      </c>
      <c r="AD134" s="51" t="s">
        <v>153</v>
      </c>
      <c r="AE134" s="44">
        <f>ROUND((((X134*E134)/1800)*0.8),4)</f>
        <v>8.1000000000000003E-2</v>
      </c>
      <c r="AF134" s="44">
        <f>ROUND(((Z134+AA134+AB134)*0.8),4)</f>
        <v>5.4100000000000002E-2</v>
      </c>
    </row>
    <row r="135" spans="1:34" ht="12.95" customHeight="1" x14ac:dyDescent="0.25">
      <c r="A135" s="89"/>
      <c r="B135" s="53" t="s">
        <v>241</v>
      </c>
      <c r="C135" s="52"/>
      <c r="D135" s="52"/>
      <c r="E135" s="52"/>
      <c r="F135" s="63"/>
      <c r="G135" s="52"/>
      <c r="H135" s="52"/>
      <c r="I135" s="52"/>
      <c r="J135" s="52"/>
      <c r="K135" s="52"/>
      <c r="L135" s="56"/>
      <c r="M135" s="56"/>
      <c r="N135" s="52"/>
      <c r="O135" s="52"/>
      <c r="P135" s="52"/>
      <c r="Q135" s="52"/>
      <c r="R135" s="52"/>
      <c r="S135" s="57"/>
      <c r="T135" s="54"/>
      <c r="U135" s="54"/>
      <c r="V135" s="54"/>
      <c r="W135" s="54"/>
      <c r="X135" s="54"/>
      <c r="Y135" s="54"/>
      <c r="Z135" s="54"/>
      <c r="AA135" s="54"/>
      <c r="AB135" s="54"/>
      <c r="AC135" s="50" t="s">
        <v>201</v>
      </c>
      <c r="AD135" s="51" t="s">
        <v>202</v>
      </c>
      <c r="AE135" s="44">
        <f>ROUND((((X134*E134)/1800)*0.13),4)</f>
        <v>1.32E-2</v>
      </c>
      <c r="AF135" s="44">
        <f>ROUND(((Z134+AA134+AB134)*0.13),4)</f>
        <v>8.8000000000000005E-3</v>
      </c>
    </row>
    <row r="136" spans="1:34" ht="12.95" customHeight="1" x14ac:dyDescent="0.25">
      <c r="A136" s="89"/>
      <c r="B136" s="67"/>
      <c r="C136" s="55"/>
      <c r="D136" s="55"/>
      <c r="E136" s="52"/>
      <c r="F136" s="63"/>
      <c r="G136" s="52"/>
      <c r="H136" s="52"/>
      <c r="I136" s="52"/>
      <c r="J136" s="52"/>
      <c r="K136" s="52"/>
      <c r="L136" s="59">
        <v>0.51</v>
      </c>
      <c r="M136" s="59">
        <v>0.63</v>
      </c>
      <c r="N136" s="52"/>
      <c r="O136" s="52"/>
      <c r="P136" s="52"/>
      <c r="Q136" s="52"/>
      <c r="R136" s="52"/>
      <c r="S136" s="60">
        <v>0.25</v>
      </c>
      <c r="T136" s="48">
        <f>ROUND((L136*I134+1.3*L136*K134+S136*H134),4)</f>
        <v>186.74250000000001</v>
      </c>
      <c r="U136" s="48">
        <f>ROUND((M136*0.9*I134+1.3*M136*0.9*K134+S136*H134),4)</f>
        <v>205.93729999999999</v>
      </c>
      <c r="V136" s="48">
        <f>ROUND((M136*I134+1.3*M136*K134+S136*H134),4)</f>
        <v>227.1525</v>
      </c>
      <c r="W136" s="48">
        <f>ROUND((L136*J134+1.3*L136*N134+S136*G134),4)</f>
        <v>15.27</v>
      </c>
      <c r="X136" s="48">
        <f>ROUND((M136*0.9*J134+1.3*M136*0.9*N134+S136*G134),4)</f>
        <v>16.809000000000001</v>
      </c>
      <c r="Y136" s="48">
        <f>ROUND((M136*J134+1.3*M136*N134+S136*G134),4)</f>
        <v>18.510000000000002</v>
      </c>
      <c r="Z136" s="49">
        <f>ROUND((P134*T136*F134*O134/1000000),4)</f>
        <v>2.8E-3</v>
      </c>
      <c r="AA136" s="49">
        <f>ROUND((Q134*U136*F134*O134/1000000),4)</f>
        <v>3.0999999999999999E-3</v>
      </c>
      <c r="AB136" s="49">
        <f>ROUND((R134*V136*F134*O134/1000000),4)</f>
        <v>0</v>
      </c>
      <c r="AC136" s="50" t="s">
        <v>203</v>
      </c>
      <c r="AD136" s="51" t="s">
        <v>204</v>
      </c>
      <c r="AE136" s="44">
        <f>ROUND((((X136*E134)/1800)),4)</f>
        <v>9.2999999999999992E-3</v>
      </c>
      <c r="AF136" s="44">
        <f>ROUND(((Z136+AA136+AB136)),5)</f>
        <v>5.8999999999999999E-3</v>
      </c>
    </row>
    <row r="137" spans="1:34" ht="12.95" customHeight="1" x14ac:dyDescent="0.25">
      <c r="A137" s="89"/>
      <c r="B137" s="53"/>
      <c r="C137" s="52"/>
      <c r="D137" s="52"/>
      <c r="E137" s="52"/>
      <c r="F137" s="63"/>
      <c r="G137" s="52"/>
      <c r="H137" s="52"/>
      <c r="I137" s="52"/>
      <c r="J137" s="52"/>
      <c r="K137" s="52"/>
      <c r="L137" s="59">
        <v>1.1399999999999999</v>
      </c>
      <c r="M137" s="59">
        <v>1.37</v>
      </c>
      <c r="N137" s="52"/>
      <c r="O137" s="52"/>
      <c r="P137" s="52"/>
      <c r="Q137" s="52"/>
      <c r="R137" s="52"/>
      <c r="S137" s="61">
        <v>0.79</v>
      </c>
      <c r="T137" s="48">
        <f>ROUND((L137*I134+1.3*L137*K134+S137*H134),4)</f>
        <v>431.29500000000002</v>
      </c>
      <c r="U137" s="48">
        <f>ROUND((M137*0.9*I134+1.3*M137*0.9*K134+S137*H134),4)</f>
        <v>462.61279999999999</v>
      </c>
      <c r="V137" s="48">
        <f>ROUND((M137*I134+1.3*M137*K134+S137*H134),4)</f>
        <v>508.7475</v>
      </c>
      <c r="W137" s="48">
        <f>ROUND((L137*J134+1.3*L137*N134+S137*G134),4)</f>
        <v>35.520000000000003</v>
      </c>
      <c r="X137" s="48">
        <f>ROUND((M137*0.9*J134+1.3*M137*0.9*N134+S137*G134),4)</f>
        <v>38.030999999999999</v>
      </c>
      <c r="Y137" s="48">
        <f>ROUND((M137*J134+1.3*N134+S137*G134),4)</f>
        <v>36.92</v>
      </c>
      <c r="Z137" s="49">
        <f>ROUND((P134*T137*F134*O134/1000000),4)</f>
        <v>6.4999999999999997E-3</v>
      </c>
      <c r="AA137" s="49">
        <f>ROUND((Q134*U137*F134*O134/1000000),4)</f>
        <v>6.8999999999999999E-3</v>
      </c>
      <c r="AB137" s="49">
        <f>ROUND((R134*V137*F134*O134/1000000),4)</f>
        <v>0</v>
      </c>
      <c r="AC137" s="50" t="s">
        <v>205</v>
      </c>
      <c r="AD137" s="51" t="s">
        <v>206</v>
      </c>
      <c r="AE137" s="44">
        <f>ROUND((((X137*E134)/1800)),4)</f>
        <v>2.1100000000000001E-2</v>
      </c>
      <c r="AF137" s="44">
        <f>ROUND(((Z137+AA137+AB137)),4)</f>
        <v>1.34E-2</v>
      </c>
    </row>
    <row r="138" spans="1:34" ht="12.95" customHeight="1" x14ac:dyDescent="0.25">
      <c r="A138" s="89"/>
      <c r="B138" s="53"/>
      <c r="C138" s="52"/>
      <c r="D138" s="52"/>
      <c r="E138" s="52"/>
      <c r="F138" s="63"/>
      <c r="G138" s="52"/>
      <c r="H138" s="52"/>
      <c r="I138" s="52"/>
      <c r="J138" s="52"/>
      <c r="K138" s="52"/>
      <c r="L138" s="59">
        <v>0.72</v>
      </c>
      <c r="M138" s="59">
        <v>1.08</v>
      </c>
      <c r="N138" s="52"/>
      <c r="O138" s="52"/>
      <c r="P138" s="52"/>
      <c r="Q138" s="52"/>
      <c r="R138" s="52"/>
      <c r="S138" s="61">
        <v>0.17</v>
      </c>
      <c r="T138" s="48">
        <f>ROUND((L138*I134+1.3*L138*K134+S138*H134),4)</f>
        <v>252.66</v>
      </c>
      <c r="U138" s="48">
        <f>ROUND((M138*0.9*I134+1.3*M138*0.9*K134+S138*H134),4)</f>
        <v>337.52100000000002</v>
      </c>
      <c r="V138" s="48">
        <f>ROUND((M138*I134+1.3*M138*K134+S138*H134),4)</f>
        <v>373.89</v>
      </c>
      <c r="W138" s="48">
        <f>ROUND((L138*J134+1.3*L138*N134+S138*G134),4)</f>
        <v>20.46</v>
      </c>
      <c r="X138" s="48">
        <f>ROUND((M138*0.9*J134+1.3*M138*0.9*N134+S138*G134),4)</f>
        <v>27.263999999999999</v>
      </c>
      <c r="Y138" s="48">
        <f>ROUND((M138*J134+1.3*M138*N134+S138*G134),4)</f>
        <v>30.18</v>
      </c>
      <c r="Z138" s="49">
        <f>ROUND((P134*T138*F134*O134/1000000),4)</f>
        <v>3.8E-3</v>
      </c>
      <c r="AA138" s="49">
        <f>ROUND((Q134*U138*F134*O134/1000000),4)</f>
        <v>5.1000000000000004E-3</v>
      </c>
      <c r="AB138" s="49">
        <f>ROUND((R134*V138*F134*O134/1000000),4)</f>
        <v>0</v>
      </c>
      <c r="AC138" s="50" t="s">
        <v>250</v>
      </c>
      <c r="AD138" s="51" t="s">
        <v>208</v>
      </c>
      <c r="AE138" s="44">
        <f>ROUND((((X138*E134)/1800)),4)</f>
        <v>1.5100000000000001E-2</v>
      </c>
      <c r="AF138" s="44">
        <f>ROUND(((Z138+AA138+AB138)),4)</f>
        <v>8.8999999999999999E-3</v>
      </c>
    </row>
    <row r="139" spans="1:34" ht="12.95" customHeight="1" x14ac:dyDescent="0.25">
      <c r="A139" s="89"/>
      <c r="B139" s="62"/>
      <c r="C139" s="56"/>
      <c r="D139" s="56"/>
      <c r="E139" s="56"/>
      <c r="F139" s="66"/>
      <c r="G139" s="56"/>
      <c r="H139" s="56"/>
      <c r="I139" s="56"/>
      <c r="J139" s="56"/>
      <c r="K139" s="56"/>
      <c r="L139" s="59">
        <v>3.37</v>
      </c>
      <c r="M139" s="59">
        <v>4.1100000000000003</v>
      </c>
      <c r="N139" s="56"/>
      <c r="O139" s="56"/>
      <c r="P139" s="56"/>
      <c r="Q139" s="56"/>
      <c r="R139" s="56"/>
      <c r="S139" s="61">
        <v>6.31</v>
      </c>
      <c r="T139" s="48">
        <f>ROUND((L139*I134+1.3*L139*K134+S139*H134),4)</f>
        <v>1513.4475</v>
      </c>
      <c r="U139" s="48">
        <f>ROUND((M139*0.9*I134+1.3*M139*0.9*K134+S139*H134),4)</f>
        <v>1624.2383</v>
      </c>
      <c r="V139" s="48">
        <f>ROUND((M139*I134+1.3*M139*K134+S139*H134),4)</f>
        <v>1762.6424999999999</v>
      </c>
      <c r="W139" s="48">
        <f>ROUND((L139*J134+1.3*L139*N134+S139*G134),4)</f>
        <v>128.85</v>
      </c>
      <c r="X139" s="48">
        <f>ROUND((M139*0.9*J134+1.3*M139*0.9*N134+S139*G134),4)</f>
        <v>137.733</v>
      </c>
      <c r="Y139" s="48">
        <f>ROUND((M139*J134+1.3*M139*N134+S139*G134),4)</f>
        <v>148.83000000000001</v>
      </c>
      <c r="Z139" s="49">
        <f>ROUND((P134*T139*F134*O134/1000000),4)</f>
        <v>2.2700000000000001E-2</v>
      </c>
      <c r="AA139" s="49">
        <f>ROUND((Q134*U139*F134*O134/1000000),4)</f>
        <v>2.4400000000000002E-2</v>
      </c>
      <c r="AB139" s="49">
        <f>ROUND((R134*V139*F134*O134/1000000),4)</f>
        <v>0</v>
      </c>
      <c r="AC139" s="50" t="s">
        <v>170</v>
      </c>
      <c r="AD139" s="51" t="s">
        <v>162</v>
      </c>
      <c r="AE139" s="44">
        <f>ROUND((((X139*E134)/1800)),4)</f>
        <v>7.6499999999999999E-2</v>
      </c>
      <c r="AF139" s="44">
        <f>ROUND(((Z139+AA139+AB139)),4)</f>
        <v>4.7100000000000003E-2</v>
      </c>
    </row>
    <row r="140" spans="1:34" ht="12.95" customHeight="1" x14ac:dyDescent="0.25">
      <c r="A140" s="52"/>
      <c r="B140" s="67" t="s">
        <v>242</v>
      </c>
      <c r="C140" s="46">
        <v>3</v>
      </c>
      <c r="D140" s="45" t="s">
        <v>228</v>
      </c>
      <c r="E140" s="45">
        <v>1</v>
      </c>
      <c r="F140" s="45">
        <v>1</v>
      </c>
      <c r="G140" s="45">
        <v>6</v>
      </c>
      <c r="H140" s="45">
        <v>60</v>
      </c>
      <c r="I140" s="45">
        <f>(8-1-0.75*2)*60*F140-K140-8*0.12*60</f>
        <v>57.900000000000006</v>
      </c>
      <c r="J140" s="45">
        <v>14</v>
      </c>
      <c r="K140" s="45">
        <f>(8-1-0.75*2)*0.65*60*F140</f>
        <v>214.5</v>
      </c>
      <c r="L140" s="48">
        <v>1.49</v>
      </c>
      <c r="M140" s="48">
        <v>1.49</v>
      </c>
      <c r="N140" s="45">
        <v>10</v>
      </c>
      <c r="O140" s="45">
        <f>E140/F140</f>
        <v>1</v>
      </c>
      <c r="P140" s="45">
        <v>120</v>
      </c>
      <c r="Q140" s="45">
        <v>30</v>
      </c>
      <c r="R140" s="47">
        <v>60</v>
      </c>
      <c r="S140" s="47">
        <v>0.28999999999999998</v>
      </c>
      <c r="T140" s="48">
        <f>ROUND((L140*I140+1.3*L140*K140+S140*H140),4)</f>
        <v>519.15750000000003</v>
      </c>
      <c r="U140" s="48">
        <f>ROUND((M140*I140+1.3*M140*K140+S140*H140),4)</f>
        <v>519.15750000000003</v>
      </c>
      <c r="V140" s="48">
        <f>ROUND((M140*I140+1.3*M140*K140+S140*H140),4)</f>
        <v>519.15750000000003</v>
      </c>
      <c r="W140" s="48">
        <f>ROUND((L140*J140+1.3*L140*N140+S140*G140),4)</f>
        <v>41.97</v>
      </c>
      <c r="X140" s="48">
        <f>ROUND((M140*J140+1.3*M140*N140+S140*G140),4)</f>
        <v>41.97</v>
      </c>
      <c r="Y140" s="48">
        <f>ROUND((M140*J140+1.3*M140*N140+S140*G140),4)</f>
        <v>41.97</v>
      </c>
      <c r="Z140" s="49">
        <f>ROUND((P140*T140*F140*O140/1000000),4)</f>
        <v>6.2300000000000001E-2</v>
      </c>
      <c r="AA140" s="49">
        <f>ROUND((Q140*U140*F140*O140/1000000),4)</f>
        <v>1.5599999999999999E-2</v>
      </c>
      <c r="AB140" s="49">
        <f>ROUND((R140*V140*F140*O140/1000000),4)</f>
        <v>3.1099999999999999E-2</v>
      </c>
      <c r="AC140" s="50" t="s">
        <v>200</v>
      </c>
      <c r="AD140" s="51" t="s">
        <v>153</v>
      </c>
      <c r="AE140" s="44">
        <f>ROUND((((X140*E140)/1800)*0.8),4)</f>
        <v>1.8700000000000001E-2</v>
      </c>
      <c r="AF140" s="44">
        <f>ROUND(((Z140+AA140+AB140)*0.8),4)</f>
        <v>8.72E-2</v>
      </c>
      <c r="AG140" s="88"/>
      <c r="AH140" s="88"/>
    </row>
    <row r="141" spans="1:34" ht="12.95" customHeight="1" x14ac:dyDescent="0.25">
      <c r="A141" s="52"/>
      <c r="B141" s="53" t="s">
        <v>243</v>
      </c>
      <c r="C141" s="52"/>
      <c r="D141" s="52"/>
      <c r="E141" s="52"/>
      <c r="F141" s="63"/>
      <c r="G141" s="52"/>
      <c r="H141" s="52"/>
      <c r="I141" s="52"/>
      <c r="J141" s="52"/>
      <c r="K141" s="52"/>
      <c r="L141" s="56"/>
      <c r="M141" s="56"/>
      <c r="N141" s="52"/>
      <c r="O141" s="52"/>
      <c r="P141" s="52"/>
      <c r="Q141" s="52"/>
      <c r="R141" s="52"/>
      <c r="S141" s="57"/>
      <c r="T141" s="54"/>
      <c r="U141" s="54"/>
      <c r="V141" s="54"/>
      <c r="W141" s="54"/>
      <c r="X141" s="54"/>
      <c r="Y141" s="54"/>
      <c r="Z141" s="54"/>
      <c r="AA141" s="54"/>
      <c r="AB141" s="54"/>
      <c r="AC141" s="50" t="s">
        <v>201</v>
      </c>
      <c r="AD141" s="51" t="s">
        <v>202</v>
      </c>
      <c r="AE141" s="44">
        <f>ROUND((((X140*E140)/1800)*0.13),4)</f>
        <v>3.0000000000000001E-3</v>
      </c>
      <c r="AF141" s="44">
        <f>ROUND(((Z140+AA140+AB140)*0.13),4)</f>
        <v>1.4200000000000001E-2</v>
      </c>
      <c r="AG141" s="88"/>
      <c r="AH141" s="88"/>
    </row>
    <row r="142" spans="1:34" ht="12.95" customHeight="1" x14ac:dyDescent="0.25">
      <c r="A142" s="52"/>
      <c r="B142" s="88"/>
      <c r="C142" s="55"/>
      <c r="D142" s="55"/>
      <c r="E142" s="52"/>
      <c r="F142" s="63"/>
      <c r="G142" s="52"/>
      <c r="H142" s="52"/>
      <c r="I142" s="52"/>
      <c r="J142" s="52"/>
      <c r="K142" s="52"/>
      <c r="L142" s="59">
        <v>0.12</v>
      </c>
      <c r="M142" s="59">
        <v>0.15</v>
      </c>
      <c r="N142" s="52"/>
      <c r="O142" s="52"/>
      <c r="P142" s="52"/>
      <c r="Q142" s="52"/>
      <c r="R142" s="52"/>
      <c r="S142" s="60">
        <v>5.8000000000000003E-2</v>
      </c>
      <c r="T142" s="48">
        <f>ROUND((L142*I140+1.3*L142*K140+S142*H140),4)</f>
        <v>43.89</v>
      </c>
      <c r="U142" s="48">
        <f>ROUND((M142*0.9*I140+1.3*M142*0.9*K140+S142*H140),4)</f>
        <v>48.941299999999998</v>
      </c>
      <c r="V142" s="48">
        <f>ROUND((M142*I140+1.3*M142*K140+S142*H140),4)</f>
        <v>53.9925</v>
      </c>
      <c r="W142" s="48">
        <f>ROUND((L142*J140+1.3*L142*N140+S142*G140),4)</f>
        <v>3.5880000000000001</v>
      </c>
      <c r="X142" s="48">
        <f>ROUND((M142*0.9*J140+1.3*M142*0.9*N140+S142*G140),4)</f>
        <v>3.9929999999999999</v>
      </c>
      <c r="Y142" s="48">
        <f>ROUND((M142*J140+1.3*M142*N140+S142*G140),4)</f>
        <v>4.3979999999999997</v>
      </c>
      <c r="Z142" s="49">
        <f>ROUND((P140*T142*F140*O140/1000000),4)</f>
        <v>5.3E-3</v>
      </c>
      <c r="AA142" s="49">
        <f>ROUND((Q140*U142*F140*O140/1000000),4)</f>
        <v>1.5E-3</v>
      </c>
      <c r="AB142" s="49">
        <f>ROUND((R140*V142*F140*O140/1000000),4)</f>
        <v>3.2000000000000002E-3</v>
      </c>
      <c r="AC142" s="50" t="s">
        <v>203</v>
      </c>
      <c r="AD142" s="51" t="s">
        <v>204</v>
      </c>
      <c r="AE142" s="44">
        <f>ROUND((((X142*E140)/1800)),4)</f>
        <v>2.2000000000000001E-3</v>
      </c>
      <c r="AF142" s="44">
        <f>ROUND(((Z142+AA142+AB142)),5)</f>
        <v>0.01</v>
      </c>
      <c r="AG142" s="88"/>
      <c r="AH142" s="88"/>
    </row>
    <row r="143" spans="1:34" ht="12.95" customHeight="1" x14ac:dyDescent="0.25">
      <c r="A143" s="52"/>
      <c r="B143" s="88"/>
      <c r="C143" s="52"/>
      <c r="D143" s="52"/>
      <c r="E143" s="52"/>
      <c r="F143" s="63"/>
      <c r="G143" s="52"/>
      <c r="H143" s="52"/>
      <c r="I143" s="52"/>
      <c r="J143" s="52"/>
      <c r="K143" s="52"/>
      <c r="L143" s="59">
        <v>0.26</v>
      </c>
      <c r="M143" s="59">
        <v>0.31</v>
      </c>
      <c r="N143" s="52"/>
      <c r="O143" s="52"/>
      <c r="P143" s="52"/>
      <c r="Q143" s="52"/>
      <c r="R143" s="52"/>
      <c r="S143" s="61">
        <v>0.18</v>
      </c>
      <c r="T143" s="48">
        <f>ROUND((L143*I140+1.3*L143*K140+S143*H140),4)</f>
        <v>98.355000000000004</v>
      </c>
      <c r="U143" s="48">
        <f>ROUND((M143*0.9*I140+1.3*M143*0.9*K140+S143*H140),4)</f>
        <v>104.7533</v>
      </c>
      <c r="V143" s="48">
        <f>ROUND((M143*I140+1.3*M143*K140+S143*H140),4)</f>
        <v>115.1925</v>
      </c>
      <c r="W143" s="48">
        <f>ROUND((L143*J140+1.3*L143*N140+S143*G140),4)</f>
        <v>8.1</v>
      </c>
      <c r="X143" s="48">
        <f>ROUND((M143*0.9*J140+1.3*M143*0.9*N140+S143*G140),4)</f>
        <v>8.6129999999999995</v>
      </c>
      <c r="Y143" s="48">
        <f>ROUND((M143*J140+1.3*N140+S143*G140),4)</f>
        <v>18.420000000000002</v>
      </c>
      <c r="Z143" s="49">
        <f>ROUND((P140*T143*F140*O140/1000000),4)</f>
        <v>1.18E-2</v>
      </c>
      <c r="AA143" s="49">
        <f>ROUND((Q140*U143*F140*O140/1000000),4)</f>
        <v>3.0999999999999999E-3</v>
      </c>
      <c r="AB143" s="49">
        <f>ROUND((R140*V143*F140*O140/1000000),4)</f>
        <v>6.8999999999999999E-3</v>
      </c>
      <c r="AC143" s="50" t="s">
        <v>205</v>
      </c>
      <c r="AD143" s="51" t="s">
        <v>206</v>
      </c>
      <c r="AE143" s="44">
        <f>ROUND((((X143*E140)/1800)),4)</f>
        <v>4.7999999999999996E-3</v>
      </c>
      <c r="AF143" s="44">
        <f>ROUND(((Z143+AA143+AB143)),4)</f>
        <v>2.18E-2</v>
      </c>
      <c r="AG143" s="88"/>
      <c r="AH143" s="88"/>
    </row>
    <row r="144" spans="1:34" ht="12.95" customHeight="1" x14ac:dyDescent="0.25">
      <c r="A144" s="52"/>
      <c r="B144" s="53"/>
      <c r="C144" s="52"/>
      <c r="D144" s="52"/>
      <c r="E144" s="52"/>
      <c r="F144" s="63"/>
      <c r="G144" s="52"/>
      <c r="H144" s="52"/>
      <c r="I144" s="52"/>
      <c r="J144" s="52"/>
      <c r="K144" s="52"/>
      <c r="L144" s="59">
        <v>0.17</v>
      </c>
      <c r="M144" s="59">
        <v>0.25</v>
      </c>
      <c r="N144" s="52"/>
      <c r="O144" s="52"/>
      <c r="P144" s="52"/>
      <c r="Q144" s="52"/>
      <c r="R144" s="52"/>
      <c r="S144" s="61">
        <v>0.04</v>
      </c>
      <c r="T144" s="48">
        <f>ROUND((L144*I140+1.3*L144*K140+S144*H140),4)</f>
        <v>59.647500000000001</v>
      </c>
      <c r="U144" s="48">
        <f>ROUND((M144*0.9*I140+1.3*M144*0.9*K140+S144*H140),4)</f>
        <v>78.168800000000005</v>
      </c>
      <c r="V144" s="48">
        <f>ROUND((M144*I140+1.3*M144*K140+S144*H140),4)</f>
        <v>86.587500000000006</v>
      </c>
      <c r="W144" s="48">
        <f>ROUND((L144*J140+1.3*L144*N140+S144*G140),4)</f>
        <v>4.83</v>
      </c>
      <c r="X144" s="48">
        <f>ROUND((M144*0.9*J140+1.3*M144*0.9*N140+S144*G140),4)</f>
        <v>6.3150000000000004</v>
      </c>
      <c r="Y144" s="48">
        <f>ROUND((M144*J140+1.3*M144*N140+S144*G140),4)</f>
        <v>6.99</v>
      </c>
      <c r="Z144" s="49">
        <f>ROUND((P140*T144*F140*O140/1000000),4)</f>
        <v>7.1999999999999998E-3</v>
      </c>
      <c r="AA144" s="49">
        <f>ROUND((Q140*U144*F140*O140/1000000),4)</f>
        <v>2.3E-3</v>
      </c>
      <c r="AB144" s="49">
        <f>ROUND((R140*V144*F140*O140/1000000),4)</f>
        <v>5.1999999999999998E-3</v>
      </c>
      <c r="AC144" s="50" t="s">
        <v>250</v>
      </c>
      <c r="AD144" s="51" t="s">
        <v>208</v>
      </c>
      <c r="AE144" s="44">
        <f>ROUND((((X144*E140)/1800)),4)</f>
        <v>3.5000000000000001E-3</v>
      </c>
      <c r="AF144" s="44">
        <f>ROUND(((Z144+AA144+AB144)),4)</f>
        <v>1.47E-2</v>
      </c>
      <c r="AG144" s="88"/>
      <c r="AH144" s="88"/>
    </row>
    <row r="145" spans="1:34" ht="12.95" customHeight="1" x14ac:dyDescent="0.25">
      <c r="A145" s="56"/>
      <c r="B145" s="62"/>
      <c r="C145" s="56"/>
      <c r="D145" s="56"/>
      <c r="E145" s="56"/>
      <c r="F145" s="66"/>
      <c r="G145" s="56"/>
      <c r="H145" s="56"/>
      <c r="I145" s="56"/>
      <c r="J145" s="56"/>
      <c r="K145" s="56"/>
      <c r="L145" s="59">
        <v>0.77</v>
      </c>
      <c r="M145" s="59">
        <v>0.94</v>
      </c>
      <c r="N145" s="56"/>
      <c r="O145" s="56"/>
      <c r="P145" s="56"/>
      <c r="Q145" s="56"/>
      <c r="R145" s="56"/>
      <c r="S145" s="61">
        <v>1.44</v>
      </c>
      <c r="T145" s="48">
        <f>ROUND((L145*I140+1.3*L145*K140+S145*H140),4)</f>
        <v>345.69749999999999</v>
      </c>
      <c r="U145" s="48">
        <f>ROUND((M145*0.9*I140+1.3*M145*0.9*K140+S145*H140),4)</f>
        <v>371.29050000000001</v>
      </c>
      <c r="V145" s="48">
        <f>ROUND((M145*I140+1.3*M145*K140+S145*H140),4)</f>
        <v>402.94499999999999</v>
      </c>
      <c r="W145" s="48">
        <f>ROUND((L145*J140+1.3*L145*N140+S145*G140),4)</f>
        <v>29.43</v>
      </c>
      <c r="X145" s="48">
        <f>ROUND((M145*0.9*J140+1.3*M145*0.9*N140+S145*G140),4)</f>
        <v>31.481999999999999</v>
      </c>
      <c r="Y145" s="48">
        <f>ROUND((M145*J140+1.3*M145*N140+S145*G140),4)</f>
        <v>34.020000000000003</v>
      </c>
      <c r="Z145" s="49">
        <f>ROUND((P140*T145*F140*O140/1000000),4)</f>
        <v>4.1500000000000002E-2</v>
      </c>
      <c r="AA145" s="49">
        <f>ROUND((Q140*U145*F140*O140/1000000),4)</f>
        <v>1.11E-2</v>
      </c>
      <c r="AB145" s="49">
        <f>ROUND((R140*V145*F140*O140/1000000),4)</f>
        <v>2.4199999999999999E-2</v>
      </c>
      <c r="AC145" s="50" t="s">
        <v>170</v>
      </c>
      <c r="AD145" s="51" t="s">
        <v>162</v>
      </c>
      <c r="AE145" s="44">
        <f>ROUND((((X145*E140)/1800)),4)</f>
        <v>1.7500000000000002E-2</v>
      </c>
      <c r="AF145" s="44">
        <f>ROUND(((Z145+AA145+AB145)),4)</f>
        <v>7.6799999999999993E-2</v>
      </c>
      <c r="AG145" s="87"/>
      <c r="AH145" s="87"/>
    </row>
    <row r="146" spans="1:34" s="285" customFormat="1" ht="12.95" customHeight="1" x14ac:dyDescent="0.2">
      <c r="A146" s="1057" t="s">
        <v>553</v>
      </c>
      <c r="B146" s="1058"/>
      <c r="C146" s="1058"/>
      <c r="D146" s="1058"/>
      <c r="E146" s="1058"/>
      <c r="F146" s="1058"/>
      <c r="G146" s="1058"/>
      <c r="H146" s="1058"/>
      <c r="I146" s="1058"/>
      <c r="J146" s="1058"/>
      <c r="K146" s="1058"/>
      <c r="L146" s="1058"/>
      <c r="M146" s="1058"/>
      <c r="N146" s="1058"/>
      <c r="O146" s="1058"/>
      <c r="P146" s="1058"/>
      <c r="Q146" s="1058"/>
      <c r="R146" s="1058"/>
      <c r="S146" s="1059"/>
      <c r="T146" s="280">
        <f>ROUND((L146*I146+1.3*L146*K146+S146*H146),4)</f>
        <v>0</v>
      </c>
      <c r="U146" s="280">
        <f>ROUND((M146*I146+1.3*M146*K146+S146*H146),4)</f>
        <v>0</v>
      </c>
      <c r="V146" s="280">
        <f>ROUND((M146*I146+1.3*M146*K146+S146*H146),4)</f>
        <v>0</v>
      </c>
      <c r="W146" s="280">
        <f>ROUND((L146*J146+1.3*L146*N146+S146*G146),4)</f>
        <v>0</v>
      </c>
      <c r="X146" s="280">
        <f>ROUND((M146*J146+1.3*M146*N146+S146*G146),4)</f>
        <v>0</v>
      </c>
      <c r="Y146" s="280">
        <f>ROUND((M146*J146+1.3*M146*N146+S146*G146),4)</f>
        <v>0</v>
      </c>
      <c r="Z146" s="281">
        <f>ROUND((P146*T146*F146*O146/1000000),4)</f>
        <v>0</v>
      </c>
      <c r="AA146" s="281">
        <f>ROUND((Q146*U146*F146*O146/1000000),4)</f>
        <v>0</v>
      </c>
      <c r="AB146" s="281">
        <f>ROUND((R146*V146*F146*O146/1000000),4)</f>
        <v>0</v>
      </c>
      <c r="AC146" s="282" t="s">
        <v>200</v>
      </c>
      <c r="AD146" s="283" t="s">
        <v>153</v>
      </c>
      <c r="AE146" s="284">
        <f>MAX(AE50,AE56,AE62,AE68,AE74,AE80,AE86,AE92,AE98,AE104,AE110,AE116,AE122,AE128,AE134,AE140)</f>
        <v>0.12720000000000001</v>
      </c>
      <c r="AF146" s="284">
        <f>AF50+AF56+AF62+AF68+AF74+AF80+AF86+AF92+AF98+AF104+AF110+AF116+AF122+AF128+AF134+AF140</f>
        <v>11.442299999999999</v>
      </c>
    </row>
    <row r="147" spans="1:34" s="285" customFormat="1" ht="12.95" customHeight="1" x14ac:dyDescent="0.2">
      <c r="A147" s="1057"/>
      <c r="B147" s="1060"/>
      <c r="C147" s="1060"/>
      <c r="D147" s="1060"/>
      <c r="E147" s="1060"/>
      <c r="F147" s="1060"/>
      <c r="G147" s="1060"/>
      <c r="H147" s="1060"/>
      <c r="I147" s="1060"/>
      <c r="J147" s="1060"/>
      <c r="K147" s="1060"/>
      <c r="L147" s="1060"/>
      <c r="M147" s="1060"/>
      <c r="N147" s="1060"/>
      <c r="O147" s="1060"/>
      <c r="P147" s="1060"/>
      <c r="Q147" s="1060"/>
      <c r="R147" s="1060"/>
      <c r="S147" s="1061"/>
      <c r="T147" s="286"/>
      <c r="U147" s="286"/>
      <c r="V147" s="286"/>
      <c r="W147" s="286"/>
      <c r="X147" s="286"/>
      <c r="Y147" s="286"/>
      <c r="Z147" s="286"/>
      <c r="AA147" s="286"/>
      <c r="AB147" s="286"/>
      <c r="AC147" s="282" t="s">
        <v>201</v>
      </c>
      <c r="AD147" s="283" t="s">
        <v>202</v>
      </c>
      <c r="AE147" s="284">
        <f t="shared" ref="AE147:AE151" si="0">MAX(AE51,AE57,AE63,AE69,AE75,AE81,AE87,AE93,AE99,AE105,AE111,AE117,AE123,AE129,AE135,AE141)</f>
        <v>2.07E-2</v>
      </c>
      <c r="AF147" s="284">
        <f t="shared" ref="AF147:AF150" si="1">AF51+AF57+AF63+AF69+AF75+AF81+AF87+AF93+AF99+AF105+AF111+AF117+AF123+AF129+AF135+AF141</f>
        <v>1.8594999999999999</v>
      </c>
    </row>
    <row r="148" spans="1:34" s="285" customFormat="1" ht="12.95" customHeight="1" x14ac:dyDescent="0.2">
      <c r="A148" s="1057"/>
      <c r="B148" s="1060"/>
      <c r="C148" s="1060"/>
      <c r="D148" s="1060"/>
      <c r="E148" s="1060"/>
      <c r="F148" s="1060"/>
      <c r="G148" s="1060"/>
      <c r="H148" s="1060"/>
      <c r="I148" s="1060"/>
      <c r="J148" s="1060"/>
      <c r="K148" s="1060"/>
      <c r="L148" s="1060"/>
      <c r="M148" s="1060"/>
      <c r="N148" s="1060"/>
      <c r="O148" s="1060"/>
      <c r="P148" s="1060"/>
      <c r="Q148" s="1060"/>
      <c r="R148" s="1060"/>
      <c r="S148" s="1061"/>
      <c r="T148" s="280">
        <f>ROUND((L148*I146+1.3*L148*K146+S148*H146),4)</f>
        <v>0</v>
      </c>
      <c r="U148" s="280">
        <f>ROUND((M148*0.9*I146+1.3*M148*0.9*K146+S148*H146),4)</f>
        <v>0</v>
      </c>
      <c r="V148" s="280">
        <f>ROUND((M148*I146+1.3*M148*K146+S148*H146),4)</f>
        <v>0</v>
      </c>
      <c r="W148" s="280">
        <f>ROUND((L148*J146+1.3*L148*N146+S148*G146),4)</f>
        <v>0</v>
      </c>
      <c r="X148" s="280">
        <f>ROUND((M148*0.9*J146+1.3*M148*0.9*N146+S148*G146),4)</f>
        <v>0</v>
      </c>
      <c r="Y148" s="280">
        <f>ROUND((M148*J146+1.3*M148*N146+S148*G146),4)</f>
        <v>0</v>
      </c>
      <c r="Z148" s="281">
        <f>ROUND((P146*T148*F146*O146/1000000),4)</f>
        <v>0</v>
      </c>
      <c r="AA148" s="281">
        <f>ROUND((Q146*U148*F146*O146/1000000),4)</f>
        <v>0</v>
      </c>
      <c r="AB148" s="281">
        <f>ROUND((R146*V148*F146*O146/1000000),4)</f>
        <v>0</v>
      </c>
      <c r="AC148" s="282" t="s">
        <v>203</v>
      </c>
      <c r="AD148" s="283" t="s">
        <v>204</v>
      </c>
      <c r="AE148" s="284">
        <f t="shared" si="0"/>
        <v>1.4500000000000001E-2</v>
      </c>
      <c r="AF148" s="284">
        <f t="shared" si="1"/>
        <v>1.3207000000000002</v>
      </c>
    </row>
    <row r="149" spans="1:34" s="285" customFormat="1" ht="12.95" customHeight="1" x14ac:dyDescent="0.2">
      <c r="A149" s="1057"/>
      <c r="B149" s="1060"/>
      <c r="C149" s="1060"/>
      <c r="D149" s="1060"/>
      <c r="E149" s="1060"/>
      <c r="F149" s="1060"/>
      <c r="G149" s="1060"/>
      <c r="H149" s="1060"/>
      <c r="I149" s="1060"/>
      <c r="J149" s="1060"/>
      <c r="K149" s="1060"/>
      <c r="L149" s="1060"/>
      <c r="M149" s="1060"/>
      <c r="N149" s="1060"/>
      <c r="O149" s="1060"/>
      <c r="P149" s="1060"/>
      <c r="Q149" s="1060"/>
      <c r="R149" s="1060"/>
      <c r="S149" s="1061"/>
      <c r="T149" s="280">
        <f>ROUND((L149*I146+1.3*L149*K146+S149*H146),4)</f>
        <v>0</v>
      </c>
      <c r="U149" s="280">
        <f>ROUND((M149*0.9*I146+1.3*M149*0.9*K146+S149*H146),4)</f>
        <v>0</v>
      </c>
      <c r="V149" s="280">
        <f>ROUND((M149*I146+1.3*M149*K146+S149*H146),4)</f>
        <v>0</v>
      </c>
      <c r="W149" s="280">
        <f>ROUND((L149*J146+1.3*L149*N146+S149*G146),4)</f>
        <v>0</v>
      </c>
      <c r="X149" s="280">
        <f>ROUND((M149*0.9*J146+1.3*M149*0.9*N146+S149*G146),4)</f>
        <v>0</v>
      </c>
      <c r="Y149" s="280">
        <f>ROUND((M149*J146+1.3*N146+S149*G146),4)</f>
        <v>0</v>
      </c>
      <c r="Z149" s="281">
        <f>ROUND((P146*T149*F146*O146/1000000),4)</f>
        <v>0</v>
      </c>
      <c r="AA149" s="281">
        <f>ROUND((Q146*U149*F146*O146/1000000),4)</f>
        <v>0</v>
      </c>
      <c r="AB149" s="281">
        <f>ROUND((R146*V149*F146*O146/1000000),4)</f>
        <v>0</v>
      </c>
      <c r="AC149" s="282" t="s">
        <v>205</v>
      </c>
      <c r="AD149" s="283" t="s">
        <v>206</v>
      </c>
      <c r="AE149" s="284">
        <f t="shared" si="0"/>
        <v>3.32E-2</v>
      </c>
      <c r="AF149" s="284">
        <f>AF53+AF59+AF65+AF71+AF77+AF83+AF89+AF95+AF101+AF107+AF113+AF119+AF125+AF131+AF137+AF143</f>
        <v>2.6682000000000001</v>
      </c>
    </row>
    <row r="150" spans="1:34" s="285" customFormat="1" ht="12.95" customHeight="1" x14ac:dyDescent="0.2">
      <c r="A150" s="1057"/>
      <c r="B150" s="1060"/>
      <c r="C150" s="1060"/>
      <c r="D150" s="1060"/>
      <c r="E150" s="1060"/>
      <c r="F150" s="1060"/>
      <c r="G150" s="1060"/>
      <c r="H150" s="1060"/>
      <c r="I150" s="1060"/>
      <c r="J150" s="1060"/>
      <c r="K150" s="1060"/>
      <c r="L150" s="1060"/>
      <c r="M150" s="1060"/>
      <c r="N150" s="1060"/>
      <c r="O150" s="1060"/>
      <c r="P150" s="1060"/>
      <c r="Q150" s="1060"/>
      <c r="R150" s="1060"/>
      <c r="S150" s="1061"/>
      <c r="T150" s="280">
        <f>ROUND((L150*I146+1.3*L150*K146+S150*H146),4)</f>
        <v>0</v>
      </c>
      <c r="U150" s="280">
        <f>ROUND((M150*0.9*I146+1.3*M150*0.9*K146+S150*H146),4)</f>
        <v>0</v>
      </c>
      <c r="V150" s="280">
        <f>ROUND((M150*I146+1.3*M150*K146+S150*H146),4)</f>
        <v>0</v>
      </c>
      <c r="W150" s="280">
        <f>ROUND((L150*J146+1.3*L150*N146+S150*G146),4)</f>
        <v>0</v>
      </c>
      <c r="X150" s="280">
        <f>ROUND((M150*0.9*J146+1.3*M150*0.9*N146+S150*G146),4)</f>
        <v>0</v>
      </c>
      <c r="Y150" s="280">
        <f>ROUND((M150*J146+1.3*M150*N146+S150*G146),4)</f>
        <v>0</v>
      </c>
      <c r="Z150" s="281">
        <f>ROUND((P146*T150*F146*O146/1000000),4)</f>
        <v>0</v>
      </c>
      <c r="AA150" s="281">
        <f>ROUND((Q146*U150*F146*O146/1000000),4)</f>
        <v>0</v>
      </c>
      <c r="AB150" s="281">
        <f>ROUND((R146*V150*F146*O146/1000000),4)</f>
        <v>0</v>
      </c>
      <c r="AC150" s="282" t="s">
        <v>250</v>
      </c>
      <c r="AD150" s="283" t="s">
        <v>208</v>
      </c>
      <c r="AE150" s="284">
        <f>MAX(AE54,AE60,AE66,AE72,AE78,AE84,AE90,AE96,AE102,AE108,AE114,AE120,AE126,AE132,AE138,AE144)</f>
        <v>2.3800000000000002E-2</v>
      </c>
      <c r="AF150" s="284">
        <f t="shared" si="1"/>
        <v>1.7802</v>
      </c>
    </row>
    <row r="151" spans="1:34" s="285" customFormat="1" ht="12.95" customHeight="1" x14ac:dyDescent="0.2">
      <c r="A151" s="1062"/>
      <c r="B151" s="1063"/>
      <c r="C151" s="1063"/>
      <c r="D151" s="1063"/>
      <c r="E151" s="1063"/>
      <c r="F151" s="1063"/>
      <c r="G151" s="1063"/>
      <c r="H151" s="1063"/>
      <c r="I151" s="1063"/>
      <c r="J151" s="1063"/>
      <c r="K151" s="1063"/>
      <c r="L151" s="1063"/>
      <c r="M151" s="1063"/>
      <c r="N151" s="1063"/>
      <c r="O151" s="1063"/>
      <c r="P151" s="1063"/>
      <c r="Q151" s="1063"/>
      <c r="R151" s="1063"/>
      <c r="S151" s="1064"/>
      <c r="T151" s="280">
        <f>ROUND((L151*I146+1.3*L151*K146+S151*H146),4)</f>
        <v>0</v>
      </c>
      <c r="U151" s="280">
        <f>ROUND((M151*0.9*I146+1.3*M151*0.9*K146+S151*H146),4)</f>
        <v>0</v>
      </c>
      <c r="V151" s="280">
        <f>ROUND((M151*I146+1.3*M151*K146+S151*H146),4)</f>
        <v>0</v>
      </c>
      <c r="W151" s="280">
        <f>ROUND((L151*J146+1.3*L151*N146+S151*G146),4)</f>
        <v>0</v>
      </c>
      <c r="X151" s="280">
        <f>ROUND((M151*0.9*J146+1.3*M151*0.9*N146+S151*G146),4)</f>
        <v>0</v>
      </c>
      <c r="Y151" s="280">
        <f>ROUND((M151*J146+1.3*M151*N146+S151*G146),4)</f>
        <v>0</v>
      </c>
      <c r="Z151" s="281">
        <f>ROUND((P146*T151*F146*O146/1000000),4)</f>
        <v>0</v>
      </c>
      <c r="AA151" s="281">
        <f>ROUND((Q146*U151*F146*O146/1000000),4)</f>
        <v>0</v>
      </c>
      <c r="AB151" s="281">
        <f>ROUND((R146*V151*F146*O146/1000000),4)</f>
        <v>0</v>
      </c>
      <c r="AC151" s="282" t="s">
        <v>170</v>
      </c>
      <c r="AD151" s="283" t="s">
        <v>162</v>
      </c>
      <c r="AE151" s="284">
        <f t="shared" si="0"/>
        <v>0.12039999999999999</v>
      </c>
      <c r="AF151" s="284">
        <f>AF55+AF61+AF67+AF73+AF79+AF85+AF91+AF97+AF103+AF109+AF115+AF121+AF127+AF133+AF139+AF145</f>
        <v>8.2996999999999996</v>
      </c>
      <c r="AG151" s="287">
        <f>SUM(AE146:AE151)</f>
        <v>0.33980000000000005</v>
      </c>
      <c r="AH151" s="287">
        <f>SUM(AF146:AF151)</f>
        <v>27.370600000000003</v>
      </c>
    </row>
    <row r="152" spans="1:34" ht="12.95" customHeight="1" x14ac:dyDescent="0.25">
      <c r="A152" s="1068" t="s">
        <v>97</v>
      </c>
      <c r="B152" s="1069"/>
      <c r="C152" s="1069"/>
      <c r="D152" s="1069"/>
      <c r="E152" s="1069"/>
      <c r="F152" s="1069"/>
      <c r="G152" s="1069"/>
      <c r="H152" s="1069"/>
      <c r="I152" s="1069"/>
      <c r="J152" s="1069"/>
      <c r="K152" s="1069"/>
      <c r="L152" s="1069"/>
      <c r="M152" s="1069"/>
      <c r="N152" s="1069"/>
      <c r="O152" s="1069"/>
      <c r="P152" s="1069"/>
      <c r="Q152" s="1069"/>
      <c r="R152" s="1069"/>
      <c r="S152" s="1069"/>
      <c r="T152" s="1069"/>
      <c r="U152" s="1069"/>
      <c r="V152" s="1069"/>
      <c r="W152" s="1069"/>
      <c r="X152" s="1069"/>
      <c r="Y152" s="1069"/>
      <c r="Z152" s="1069"/>
      <c r="AA152" s="1069"/>
      <c r="AB152" s="1069"/>
      <c r="AC152" s="1069"/>
      <c r="AD152" s="1069"/>
      <c r="AE152" s="1069"/>
      <c r="AF152" s="1070"/>
    </row>
    <row r="153" spans="1:34" ht="12.95" customHeight="1" x14ac:dyDescent="0.25">
      <c r="A153" s="45">
        <v>8030</v>
      </c>
      <c r="B153" s="46" t="s">
        <v>218</v>
      </c>
      <c r="C153" s="45">
        <v>4</v>
      </c>
      <c r="D153" s="45" t="s">
        <v>199</v>
      </c>
      <c r="E153" s="45">
        <v>1</v>
      </c>
      <c r="F153" s="45">
        <v>2</v>
      </c>
      <c r="G153" s="45">
        <v>6</v>
      </c>
      <c r="H153" s="45">
        <v>60</v>
      </c>
      <c r="I153" s="45">
        <f>(8-1-0.75*2)*60*F153-K153-8*0.12*60</f>
        <v>173.4</v>
      </c>
      <c r="J153" s="45">
        <v>14</v>
      </c>
      <c r="K153" s="45">
        <f>(8-1-0.75*2)*0.65*60*F153</f>
        <v>429</v>
      </c>
      <c r="L153" s="45">
        <v>2.4700000000000002</v>
      </c>
      <c r="M153" s="45">
        <v>2.4700000000000002</v>
      </c>
      <c r="N153" s="45">
        <v>10</v>
      </c>
      <c r="O153" s="45">
        <f>E153/F153</f>
        <v>0.5</v>
      </c>
      <c r="P153" s="45">
        <v>150</v>
      </c>
      <c r="Q153" s="45">
        <v>0</v>
      </c>
      <c r="R153" s="47">
        <v>0</v>
      </c>
      <c r="S153" s="45">
        <v>0.48</v>
      </c>
      <c r="T153" s="48">
        <f>ROUND((L153*I153+1.3*L153*K153+S153*H153),4)</f>
        <v>1834.617</v>
      </c>
      <c r="U153" s="48">
        <f>ROUND((M153*I153+1.3*M153*K153+S153*H153),4)</f>
        <v>1834.617</v>
      </c>
      <c r="V153" s="48">
        <f>ROUND((M153*I153+1.3*M153*K153+S153*H153),4)</f>
        <v>1834.617</v>
      </c>
      <c r="W153" s="48">
        <f>ROUND((L153*J153+1.3*L153*N153+S153*G153),4)</f>
        <v>69.569999999999993</v>
      </c>
      <c r="X153" s="48">
        <f>ROUND((M153*J153+1.3*M153*N153+S153*G153),4)</f>
        <v>69.569999999999993</v>
      </c>
      <c r="Y153" s="48">
        <f>ROUND((M153*J153+1.3*M153*N153+S153*G153),4)</f>
        <v>69.569999999999993</v>
      </c>
      <c r="Z153" s="49">
        <f>ROUND((P153*T153*F153*O153/1000000),4)</f>
        <v>0.2752</v>
      </c>
      <c r="AA153" s="49">
        <f>ROUND((Q153*U153*F153*O153/1000000),4)</f>
        <v>0</v>
      </c>
      <c r="AB153" s="49">
        <f>ROUND((R153*V153*F153*O153/1000000),4)</f>
        <v>0</v>
      </c>
      <c r="AC153" s="50" t="s">
        <v>200</v>
      </c>
      <c r="AD153" s="51" t="s">
        <v>153</v>
      </c>
      <c r="AE153" s="44">
        <f>ROUND((((X153*E153)/1800)*0.8),4)</f>
        <v>3.09E-2</v>
      </c>
      <c r="AF153" s="44">
        <f>ROUND(((Z153+AA153+AB153)*0.8),4)</f>
        <v>0.22020000000000001</v>
      </c>
    </row>
    <row r="154" spans="1:34" ht="12.95" customHeight="1" x14ac:dyDescent="0.25">
      <c r="A154" s="63"/>
      <c r="B154" s="53" t="s">
        <v>219</v>
      </c>
      <c r="C154" s="52"/>
      <c r="D154" s="52"/>
      <c r="E154" s="52"/>
      <c r="F154" s="63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68"/>
      <c r="T154" s="54"/>
      <c r="U154" s="54"/>
      <c r="V154" s="54"/>
      <c r="W154" s="54"/>
      <c r="X154" s="54"/>
      <c r="Y154" s="54"/>
      <c r="Z154" s="54"/>
      <c r="AA154" s="54"/>
      <c r="AB154" s="54"/>
      <c r="AC154" s="50" t="s">
        <v>201</v>
      </c>
      <c r="AD154" s="51" t="s">
        <v>202</v>
      </c>
      <c r="AE154" s="44">
        <f>ROUND((((X153*E153)/1800)*0.13),4)</f>
        <v>5.0000000000000001E-3</v>
      </c>
      <c r="AF154" s="44">
        <f>ROUND(((Z153+AA153+AB153)*0.13),4)</f>
        <v>3.5799999999999998E-2</v>
      </c>
    </row>
    <row r="155" spans="1:34" ht="12.95" customHeight="1" x14ac:dyDescent="0.25">
      <c r="A155" s="63"/>
      <c r="B155" s="53"/>
      <c r="C155" s="55"/>
      <c r="D155" s="55"/>
      <c r="E155" s="52"/>
      <c r="F155" s="63"/>
      <c r="G155" s="52"/>
      <c r="H155" s="52"/>
      <c r="I155" s="52"/>
      <c r="J155" s="52"/>
      <c r="K155" s="52"/>
      <c r="L155" s="52">
        <v>0.19</v>
      </c>
      <c r="M155" s="52">
        <v>0.23</v>
      </c>
      <c r="N155" s="52"/>
      <c r="O155" s="52"/>
      <c r="P155" s="52"/>
      <c r="Q155" s="52"/>
      <c r="R155" s="52"/>
      <c r="S155" s="69">
        <v>9.7000000000000003E-2</v>
      </c>
      <c r="T155" s="48">
        <f>ROUND((L155*I153+1.3*L155*K153+S155*H153),4)</f>
        <v>144.72900000000001</v>
      </c>
      <c r="U155" s="48">
        <f>ROUND((M155*0.9*I153+1.3*M155*0.9*K153+S155*H153),4)</f>
        <v>157.15770000000001</v>
      </c>
      <c r="V155" s="48">
        <f>ROUND((M155*I153+1.3*M155*K153+S155*H153),4)</f>
        <v>173.97300000000001</v>
      </c>
      <c r="W155" s="48">
        <f>ROUND((L155*J153+1.3*L155*N153+S155*G153),4)</f>
        <v>5.7119999999999997</v>
      </c>
      <c r="X155" s="48">
        <f>ROUND((M155*0.9*J153+1.3*M155*0.9*N153+S155*G153),4)</f>
        <v>6.1710000000000003</v>
      </c>
      <c r="Y155" s="48">
        <f>ROUND((M155*J153+1.3*M155*N153+S155*G153),4)</f>
        <v>6.7919999999999998</v>
      </c>
      <c r="Z155" s="49">
        <f>ROUND((P153*T155*F153*O153/1000000),4)</f>
        <v>2.1700000000000001E-2</v>
      </c>
      <c r="AA155" s="49">
        <f>ROUND((Q153*U155*F153*O153/1000000),4)</f>
        <v>0</v>
      </c>
      <c r="AB155" s="49">
        <f>ROUND((R153*V155*F153*O153/1000000),4)</f>
        <v>0</v>
      </c>
      <c r="AC155" s="50" t="s">
        <v>203</v>
      </c>
      <c r="AD155" s="51" t="s">
        <v>204</v>
      </c>
      <c r="AE155" s="44">
        <f>ROUND((((X155*E153)/1800)),4)</f>
        <v>3.3999999999999998E-3</v>
      </c>
      <c r="AF155" s="44">
        <f>ROUND(((Z155+AA155+AB155)),5)</f>
        <v>2.1700000000000001E-2</v>
      </c>
    </row>
    <row r="156" spans="1:34" ht="12.95" customHeight="1" x14ac:dyDescent="0.25">
      <c r="A156" s="63"/>
      <c r="B156" s="98"/>
      <c r="C156" s="52"/>
      <c r="D156" s="52"/>
      <c r="E156" s="52"/>
      <c r="F156" s="63"/>
      <c r="G156" s="52"/>
      <c r="H156" s="52"/>
      <c r="I156" s="52"/>
      <c r="J156" s="52"/>
      <c r="K156" s="52"/>
      <c r="L156" s="52">
        <v>0.43</v>
      </c>
      <c r="M156" s="52">
        <v>0.51</v>
      </c>
      <c r="N156" s="52"/>
      <c r="O156" s="52"/>
      <c r="P156" s="52"/>
      <c r="Q156" s="52"/>
      <c r="R156" s="52"/>
      <c r="S156" s="69">
        <v>0.3</v>
      </c>
      <c r="T156" s="48">
        <f>ROUND((L156*I153+1.3*L156*K153+S156*H153),4)</f>
        <v>332.37299999999999</v>
      </c>
      <c r="U156" s="48">
        <f>ROUND((M156*0.9*I153+1.3*M156*0.9*K153+S156*H153),4)</f>
        <v>353.57490000000001</v>
      </c>
      <c r="V156" s="48">
        <f>ROUND((M156*I153+1.3*M156*K153+S156*H153),4)</f>
        <v>390.86099999999999</v>
      </c>
      <c r="W156" s="48">
        <f>ROUND((L156*J153+1.3*L156*N153+S156*G153),4)</f>
        <v>13.41</v>
      </c>
      <c r="X156" s="48">
        <f>ROUND((M156*0.9*J153+1.3*M156*0.9*N153+S156*G153),4)</f>
        <v>14.193</v>
      </c>
      <c r="Y156" s="48">
        <f>ROUND((M156*J153+1.3*N153+S156*G153),4)</f>
        <v>21.94</v>
      </c>
      <c r="Z156" s="49">
        <f>ROUND((P153*T156*F153*O153/1000000),4)</f>
        <v>4.99E-2</v>
      </c>
      <c r="AA156" s="49">
        <f>ROUND((Q153*U156*F153*O153/1000000),4)</f>
        <v>0</v>
      </c>
      <c r="AB156" s="49">
        <f>ROUND((R153*V156*F153*O153/1000000),4)</f>
        <v>0</v>
      </c>
      <c r="AC156" s="50" t="s">
        <v>205</v>
      </c>
      <c r="AD156" s="51" t="s">
        <v>206</v>
      </c>
      <c r="AE156" s="44">
        <f>ROUND((((X156*E153)/1800)),4)</f>
        <v>7.9000000000000008E-3</v>
      </c>
      <c r="AF156" s="44">
        <f>ROUND(((Z156+AA156+AB156)),4)</f>
        <v>4.99E-2</v>
      </c>
    </row>
    <row r="157" spans="1:34" ht="12.95" customHeight="1" x14ac:dyDescent="0.25">
      <c r="A157" s="63"/>
      <c r="B157" s="53"/>
      <c r="C157" s="52"/>
      <c r="D157" s="52"/>
      <c r="E157" s="52"/>
      <c r="F157" s="63"/>
      <c r="G157" s="52"/>
      <c r="H157" s="52"/>
      <c r="I157" s="52"/>
      <c r="J157" s="52"/>
      <c r="K157" s="52"/>
      <c r="L157" s="52">
        <v>0.27</v>
      </c>
      <c r="M157" s="52">
        <v>0.41</v>
      </c>
      <c r="N157" s="52"/>
      <c r="O157" s="52"/>
      <c r="P157" s="52"/>
      <c r="Q157" s="52"/>
      <c r="R157" s="52"/>
      <c r="S157" s="69">
        <v>0.06</v>
      </c>
      <c r="T157" s="48">
        <f>ROUND((L157*I153+1.3*L157*K153+S157*H153),4)</f>
        <v>200.99700000000001</v>
      </c>
      <c r="U157" s="48">
        <f>ROUND((M157*0.9*I153+1.3*M157*0.9*K153+S157*H153),4)</f>
        <v>273.3759</v>
      </c>
      <c r="V157" s="48">
        <f>ROUND((M157*I153+1.3*M157*K153+S157*H153),4)</f>
        <v>303.351</v>
      </c>
      <c r="W157" s="48">
        <f>ROUND((L157*J153+1.3*L157*N153+S157*G153),4)</f>
        <v>7.65</v>
      </c>
      <c r="X157" s="48">
        <f>ROUND((M157*0.9*J153+1.3*M157*0.9*N153+S157*G153),4)</f>
        <v>10.323</v>
      </c>
      <c r="Y157" s="48">
        <f>ROUND((M157*J153+1.3*M157*N153+S157*G153),4)</f>
        <v>11.43</v>
      </c>
      <c r="Z157" s="49">
        <f>ROUND((P153*T157*F153*O153/1000000),4)</f>
        <v>3.0099999999999998E-2</v>
      </c>
      <c r="AA157" s="49">
        <f>ROUND((Q153*U157*F153*O153/1000000),4)</f>
        <v>0</v>
      </c>
      <c r="AB157" s="49">
        <f>ROUND((R153*V157*F153*O153/1000000),4)</f>
        <v>0</v>
      </c>
      <c r="AC157" s="50" t="s">
        <v>250</v>
      </c>
      <c r="AD157" s="51" t="s">
        <v>208</v>
      </c>
      <c r="AE157" s="44">
        <f>ROUND((((X157*E153)/1800)),4)</f>
        <v>5.7000000000000002E-3</v>
      </c>
      <c r="AF157" s="44">
        <f>ROUND(((Z157+AA157+AB157)),4)</f>
        <v>3.0099999999999998E-2</v>
      </c>
    </row>
    <row r="158" spans="1:34" ht="12.95" customHeight="1" x14ac:dyDescent="0.25">
      <c r="A158" s="63"/>
      <c r="B158" s="53"/>
      <c r="C158" s="56"/>
      <c r="D158" s="56"/>
      <c r="E158" s="56"/>
      <c r="F158" s="66"/>
      <c r="G158" s="56"/>
      <c r="H158" s="56"/>
      <c r="I158" s="56"/>
      <c r="J158" s="56"/>
      <c r="K158" s="56"/>
      <c r="L158" s="56">
        <v>1.29</v>
      </c>
      <c r="M158" s="56">
        <v>1.57</v>
      </c>
      <c r="N158" s="56"/>
      <c r="O158" s="56"/>
      <c r="P158" s="56"/>
      <c r="Q158" s="56"/>
      <c r="R158" s="56"/>
      <c r="S158" s="69">
        <v>2.4</v>
      </c>
      <c r="T158" s="70">
        <f>ROUND((L158*I153+1.3*L158*K153+S158*H153),4)</f>
        <v>1087.1189999999999</v>
      </c>
      <c r="U158" s="70">
        <f>ROUND((M158*0.9*I153+1.3*M158*0.9*K153+S158*H153),4)</f>
        <v>1177.0443</v>
      </c>
      <c r="V158" s="70">
        <f>ROUND((M158*I153+1.3*M158*K153+S158*H153),4)</f>
        <v>1291.827</v>
      </c>
      <c r="W158" s="70">
        <f>ROUND((L158*J153+1.3*L158*N153+S158*G153),4)</f>
        <v>49.23</v>
      </c>
      <c r="X158" s="70">
        <f>ROUND((M158*0.9*J153+1.3*M158*0.9*N153+S158*G153),4)</f>
        <v>52.551000000000002</v>
      </c>
      <c r="Y158" s="70">
        <f>ROUND((M158*J153+1.3*M158*N153+S158*G153),4)</f>
        <v>56.79</v>
      </c>
      <c r="Z158" s="71">
        <f>ROUND((P153*T158*F153*O153/1000000),4)</f>
        <v>0.16309999999999999</v>
      </c>
      <c r="AA158" s="71">
        <f>ROUND((Q153*U158*F153*O153/1000000),4)</f>
        <v>0</v>
      </c>
      <c r="AB158" s="71">
        <f>ROUND((R153*V158*F153*O153/1000000),4)</f>
        <v>0</v>
      </c>
      <c r="AC158" s="50" t="s">
        <v>170</v>
      </c>
      <c r="AD158" s="51" t="s">
        <v>162</v>
      </c>
      <c r="AE158" s="44">
        <f>ROUND((((X158*E153)/1800)),4)</f>
        <v>2.92E-2</v>
      </c>
      <c r="AF158" s="44">
        <f>ROUND(((Z158+AA158+AB158)),4)</f>
        <v>0.16309999999999999</v>
      </c>
    </row>
    <row r="159" spans="1:34" ht="12.95" customHeight="1" x14ac:dyDescent="0.25">
      <c r="A159" s="63"/>
      <c r="B159" s="46" t="s">
        <v>211</v>
      </c>
      <c r="C159" s="46">
        <v>5</v>
      </c>
      <c r="D159" s="45" t="s">
        <v>209</v>
      </c>
      <c r="E159" s="45">
        <v>1</v>
      </c>
      <c r="F159" s="45">
        <v>4</v>
      </c>
      <c r="G159" s="45">
        <v>6</v>
      </c>
      <c r="H159" s="45">
        <v>60</v>
      </c>
      <c r="I159" s="45">
        <f>(8-1-0.75*2)*60*F159-K159-8*0.12*60</f>
        <v>404.4</v>
      </c>
      <c r="J159" s="45">
        <v>14</v>
      </c>
      <c r="K159" s="45">
        <f>(8-1-0.75*2)*0.65*60*F159</f>
        <v>858</v>
      </c>
      <c r="L159" s="48">
        <v>4.01</v>
      </c>
      <c r="M159" s="48">
        <v>4.01</v>
      </c>
      <c r="N159" s="45">
        <v>10</v>
      </c>
      <c r="O159" s="45">
        <f>E159/F159</f>
        <v>0.25</v>
      </c>
      <c r="P159" s="45">
        <v>180</v>
      </c>
      <c r="Q159" s="45">
        <v>90</v>
      </c>
      <c r="R159" s="47">
        <v>90</v>
      </c>
      <c r="S159" s="47">
        <v>0.78</v>
      </c>
      <c r="T159" s="48">
        <f>ROUND((L159*I159+1.3*L159*K159+S159*H159),4)</f>
        <v>6141.1980000000003</v>
      </c>
      <c r="U159" s="48">
        <f>ROUND((M159*I159+1.3*M159*K159+S159*H159),4)</f>
        <v>6141.1980000000003</v>
      </c>
      <c r="V159" s="48">
        <f>ROUND((M159*I159+1.3*M159*K159+S159*H159),4)</f>
        <v>6141.1980000000003</v>
      </c>
      <c r="W159" s="48">
        <f>ROUND((L159*J159+1.3*L159*N159+S159*G159),4)</f>
        <v>112.95</v>
      </c>
      <c r="X159" s="48">
        <f>ROUND((M159*J159+1.3*M159*N159+S159*G159),4)</f>
        <v>112.95</v>
      </c>
      <c r="Y159" s="48">
        <f>ROUND((M159*J159+1.3*M159*N159+S159*G159),4)</f>
        <v>112.95</v>
      </c>
      <c r="Z159" s="49">
        <f>ROUND((P159*T159*F159*O159/1000000),4)</f>
        <v>1.1053999999999999</v>
      </c>
      <c r="AA159" s="49">
        <f>ROUND((Q159*U159*F159*O159/1000000),4)</f>
        <v>0.55269999999999997</v>
      </c>
      <c r="AB159" s="49">
        <f>ROUND((R159*V159*F159*O159/1000000),4)</f>
        <v>0.55269999999999997</v>
      </c>
      <c r="AC159" s="50" t="s">
        <v>200</v>
      </c>
      <c r="AD159" s="51" t="s">
        <v>153</v>
      </c>
      <c r="AE159" s="44">
        <f>ROUND((((X159*E159)/1800)*0.8),4)</f>
        <v>5.0200000000000002E-2</v>
      </c>
      <c r="AF159" s="44">
        <f>ROUND(((Z159+AA159+AB159)*0.8),4)</f>
        <v>1.7685999999999999</v>
      </c>
    </row>
    <row r="160" spans="1:34" ht="12.95" customHeight="1" x14ac:dyDescent="0.25">
      <c r="A160" s="63"/>
      <c r="B160" s="73" t="s">
        <v>212</v>
      </c>
      <c r="C160" s="53"/>
      <c r="D160" s="52"/>
      <c r="E160" s="52"/>
      <c r="F160" s="63"/>
      <c r="G160" s="52"/>
      <c r="H160" s="52"/>
      <c r="I160" s="52"/>
      <c r="J160" s="52"/>
      <c r="K160" s="52"/>
      <c r="L160" s="56"/>
      <c r="M160" s="56"/>
      <c r="N160" s="52"/>
      <c r="O160" s="52"/>
      <c r="P160" s="63"/>
      <c r="Q160" s="63"/>
      <c r="R160" s="63"/>
      <c r="S160" s="57"/>
      <c r="T160" s="54"/>
      <c r="U160" s="54"/>
      <c r="V160" s="54"/>
      <c r="W160" s="54"/>
      <c r="X160" s="54"/>
      <c r="Y160" s="54"/>
      <c r="Z160" s="54"/>
      <c r="AA160" s="54"/>
      <c r="AB160" s="54"/>
      <c r="AC160" s="50" t="s">
        <v>201</v>
      </c>
      <c r="AD160" s="51" t="s">
        <v>202</v>
      </c>
      <c r="AE160" s="44">
        <f>ROUND((((X159*E159)/1800)*0.13),4)</f>
        <v>8.2000000000000007E-3</v>
      </c>
      <c r="AF160" s="44">
        <f>ROUND(((Z159+AA159+AB159)*0.13),4)</f>
        <v>0.28739999999999999</v>
      </c>
    </row>
    <row r="161" spans="1:32" ht="12.95" customHeight="1" x14ac:dyDescent="0.25">
      <c r="A161" s="63"/>
      <c r="B161" s="64"/>
      <c r="C161" s="58"/>
      <c r="D161" s="55"/>
      <c r="E161" s="52"/>
      <c r="F161" s="63"/>
      <c r="G161" s="52"/>
      <c r="H161" s="52"/>
      <c r="I161" s="52"/>
      <c r="J161" s="52"/>
      <c r="K161" s="52"/>
      <c r="L161" s="59">
        <v>0.31</v>
      </c>
      <c r="M161" s="59">
        <v>0.38</v>
      </c>
      <c r="N161" s="52"/>
      <c r="O161" s="52"/>
      <c r="P161" s="63"/>
      <c r="Q161" s="63"/>
      <c r="R161" s="63"/>
      <c r="S161" s="60">
        <v>0.16</v>
      </c>
      <c r="T161" s="48">
        <f>ROUND((L161*I159+1.3*L161*K159+S161*H159),4)</f>
        <v>480.738</v>
      </c>
      <c r="U161" s="48">
        <f>ROUND((M161*0.9*I159+1.3*M161*0.9*K159+S161*H159),4)</f>
        <v>529.37159999999994</v>
      </c>
      <c r="V161" s="48">
        <f>ROUND((M161*I159+1.3*M161*K159+S161*H159),4)</f>
        <v>587.12400000000002</v>
      </c>
      <c r="W161" s="48">
        <f>ROUND((L161*J159+1.3*L161*N159+S161*G159),4)</f>
        <v>9.33</v>
      </c>
      <c r="X161" s="48">
        <f>ROUND((M161*0.9*J159+1.3*M161*0.9*N159+S161*G159),4)</f>
        <v>10.194000000000001</v>
      </c>
      <c r="Y161" s="48">
        <f>ROUND((M161*J159+1.3*M161*N159+S161*G159),4)</f>
        <v>11.22</v>
      </c>
      <c r="Z161" s="49">
        <f>ROUND((P159*T161*F159*O159/1000000),4)</f>
        <v>8.6499999999999994E-2</v>
      </c>
      <c r="AA161" s="49">
        <f>ROUND((Q159*U161*F159*O159/1000000),4)</f>
        <v>4.7600000000000003E-2</v>
      </c>
      <c r="AB161" s="49">
        <f>ROUND((R159*V161*F159*O159/1000000),4)</f>
        <v>5.28E-2</v>
      </c>
      <c r="AC161" s="50" t="s">
        <v>203</v>
      </c>
      <c r="AD161" s="51" t="s">
        <v>204</v>
      </c>
      <c r="AE161" s="44">
        <f>ROUND((((X161*E159)/1800)),4)</f>
        <v>5.7000000000000002E-3</v>
      </c>
      <c r="AF161" s="44">
        <f>ROUND(((Z161+AA161+AB161)),5)</f>
        <v>0.18690000000000001</v>
      </c>
    </row>
    <row r="162" spans="1:32" ht="12.95" customHeight="1" x14ac:dyDescent="0.25">
      <c r="A162" s="63"/>
      <c r="B162" s="64"/>
      <c r="C162" s="53"/>
      <c r="D162" s="52"/>
      <c r="E162" s="52"/>
      <c r="F162" s="63"/>
      <c r="G162" s="52"/>
      <c r="H162" s="52"/>
      <c r="I162" s="52"/>
      <c r="J162" s="52"/>
      <c r="K162" s="52"/>
      <c r="L162" s="59">
        <v>0.71</v>
      </c>
      <c r="M162" s="59">
        <v>0.85</v>
      </c>
      <c r="N162" s="52"/>
      <c r="O162" s="52"/>
      <c r="P162" s="63"/>
      <c r="Q162" s="63"/>
      <c r="R162" s="63"/>
      <c r="S162" s="61">
        <v>0.49</v>
      </c>
      <c r="T162" s="48">
        <f>ROUND((L162*I159+1.3*L162*K159+S162*H159),4)</f>
        <v>1108.4580000000001</v>
      </c>
      <c r="U162" s="48">
        <f>ROUND((M162*0.9*I159+1.3*M162*0.9*K159+S162*H159),4)</f>
        <v>1192.047</v>
      </c>
      <c r="V162" s="48">
        <f>ROUND((M162*I159+1.3*M162*K159+S162*H159),4)</f>
        <v>1321.23</v>
      </c>
      <c r="W162" s="48">
        <f>ROUND((L162*J159+1.3*L162*N159+S162*G159),4)</f>
        <v>22.11</v>
      </c>
      <c r="X162" s="48">
        <f>ROUND((M162*0.9*J159+1.3*M162*0.9*N159+S162*G159),4)</f>
        <v>23.594999999999999</v>
      </c>
      <c r="Y162" s="48">
        <f>ROUND((M162*J159+1.3*N159+S162*G159),4)</f>
        <v>27.84</v>
      </c>
      <c r="Z162" s="49">
        <f>ROUND((P159*T162*F159*O159/1000000),4)</f>
        <v>0.19950000000000001</v>
      </c>
      <c r="AA162" s="49">
        <f>ROUND((Q159*U162*F159*O159/1000000),4)</f>
        <v>0.10730000000000001</v>
      </c>
      <c r="AB162" s="49">
        <f>ROUND((R159*V162*F159*O159/1000000),4)</f>
        <v>0.11890000000000001</v>
      </c>
      <c r="AC162" s="50" t="s">
        <v>205</v>
      </c>
      <c r="AD162" s="51" t="s">
        <v>206</v>
      </c>
      <c r="AE162" s="44">
        <f>ROUND((((X162*E159)/1800)),4)</f>
        <v>1.3100000000000001E-2</v>
      </c>
      <c r="AF162" s="44">
        <f>ROUND(((Z162+AA162+AB162)),4)</f>
        <v>0.42570000000000002</v>
      </c>
    </row>
    <row r="163" spans="1:32" ht="12.95" customHeight="1" x14ac:dyDescent="0.25">
      <c r="A163" s="63"/>
      <c r="B163" s="64"/>
      <c r="C163" s="53"/>
      <c r="D163" s="52"/>
      <c r="E163" s="52"/>
      <c r="F163" s="63"/>
      <c r="G163" s="52"/>
      <c r="H163" s="52"/>
      <c r="I163" s="52"/>
      <c r="J163" s="52"/>
      <c r="K163" s="52"/>
      <c r="L163" s="59">
        <v>0.45</v>
      </c>
      <c r="M163" s="59">
        <v>0.67</v>
      </c>
      <c r="N163" s="52"/>
      <c r="O163" s="52"/>
      <c r="P163" s="63"/>
      <c r="Q163" s="63"/>
      <c r="R163" s="63"/>
      <c r="S163" s="61">
        <v>0.1</v>
      </c>
      <c r="T163" s="48">
        <f>ROUND((L163*I159+1.3*L163*K159+S163*H159),4)</f>
        <v>689.91</v>
      </c>
      <c r="U163" s="48">
        <f>ROUND((M163*0.9*I159+1.3*M163*0.9*K159+S163*H159),4)</f>
        <v>922.43939999999998</v>
      </c>
      <c r="V163" s="48">
        <f>ROUND((M163*I159+1.3*M163*K159+S163*H159),4)</f>
        <v>1024.2660000000001</v>
      </c>
      <c r="W163" s="48">
        <f>ROUND((L163*J159+1.3*L163*N159+S163*G159),4)</f>
        <v>12.75</v>
      </c>
      <c r="X163" s="48">
        <f>ROUND((M163*0.9*J159+1.3*M163*0.9*N159+S163*G159),4)</f>
        <v>16.881</v>
      </c>
      <c r="Y163" s="48">
        <f>ROUND((M163*J159+1.3*M163*N159+S163*G159),4)</f>
        <v>18.690000000000001</v>
      </c>
      <c r="Z163" s="49">
        <f>ROUND((P159*T163*F159*O159/1000000),4)</f>
        <v>0.1242</v>
      </c>
      <c r="AA163" s="49">
        <f>ROUND((Q159*U163*F159*O159/1000000),4)</f>
        <v>8.3000000000000004E-2</v>
      </c>
      <c r="AB163" s="49">
        <f>ROUND((R159*V163*F159*O159/1000000),4)</f>
        <v>9.2200000000000004E-2</v>
      </c>
      <c r="AC163" s="50" t="s">
        <v>250</v>
      </c>
      <c r="AD163" s="51" t="s">
        <v>208</v>
      </c>
      <c r="AE163" s="44">
        <f>ROUND((((X163*E159)/1800)),4)</f>
        <v>9.4000000000000004E-3</v>
      </c>
      <c r="AF163" s="44">
        <f>ROUND(((Z163+AA163+AB163)),4)</f>
        <v>0.2994</v>
      </c>
    </row>
    <row r="164" spans="1:32" ht="12.95" customHeight="1" x14ac:dyDescent="0.25">
      <c r="A164" s="63"/>
      <c r="B164" s="72"/>
      <c r="C164" s="62"/>
      <c r="D164" s="56"/>
      <c r="E164" s="56"/>
      <c r="F164" s="66"/>
      <c r="G164" s="56"/>
      <c r="H164" s="56"/>
      <c r="I164" s="56"/>
      <c r="J164" s="56"/>
      <c r="K164" s="56"/>
      <c r="L164" s="59">
        <v>2.09</v>
      </c>
      <c r="M164" s="59">
        <v>2.5499999999999998</v>
      </c>
      <c r="N164" s="56"/>
      <c r="O164" s="56"/>
      <c r="P164" s="66"/>
      <c r="Q164" s="66"/>
      <c r="R164" s="66"/>
      <c r="S164" s="61">
        <v>3.91</v>
      </c>
      <c r="T164" s="48">
        <f>ROUND((L164*I159+1.3*L164*K159+S164*H159),4)</f>
        <v>3410.982</v>
      </c>
      <c r="U164" s="48">
        <f>ROUND((M164*0.9*I159+1.3*M164*0.9*K159+S164*H159),4)</f>
        <v>3722.5410000000002</v>
      </c>
      <c r="V164" s="48">
        <f>ROUND((M164*I159+1.3*M164*K159+S164*H159),4)</f>
        <v>4110.09</v>
      </c>
      <c r="W164" s="48">
        <f>ROUND((L164*J159+1.3*L164*N159+S164*G159),4)</f>
        <v>79.89</v>
      </c>
      <c r="X164" s="48">
        <f>ROUND((M164*0.9*J159+1.3*M164*0.9*N159+S164*G159),4)</f>
        <v>85.424999999999997</v>
      </c>
      <c r="Y164" s="48">
        <f>ROUND((M164*J159+1.3*M164*N159+S164*G159),4)</f>
        <v>92.31</v>
      </c>
      <c r="Z164" s="49">
        <f>ROUND((P159*T164*F159*O159/1000000),4)</f>
        <v>0.61399999999999999</v>
      </c>
      <c r="AA164" s="49">
        <f>ROUND((Q159*U164*F159*O159/1000000),4)</f>
        <v>0.33500000000000002</v>
      </c>
      <c r="AB164" s="49">
        <f>ROUND((R159*V164*F159*O159/1000000),4)</f>
        <v>0.36990000000000001</v>
      </c>
      <c r="AC164" s="50" t="s">
        <v>170</v>
      </c>
      <c r="AD164" s="51" t="s">
        <v>162</v>
      </c>
      <c r="AE164" s="44">
        <f>ROUND((((X164*E159)/1800)),4)</f>
        <v>4.7500000000000001E-2</v>
      </c>
      <c r="AF164" s="44">
        <f>ROUND(((Z164+AA164+AB164)),4)</f>
        <v>1.3189</v>
      </c>
    </row>
    <row r="165" spans="1:32" ht="12.95" customHeight="1" x14ac:dyDescent="0.25">
      <c r="A165" s="52"/>
      <c r="B165" s="46" t="s">
        <v>211</v>
      </c>
      <c r="C165" s="46">
        <v>6</v>
      </c>
      <c r="D165" s="45" t="s">
        <v>210</v>
      </c>
      <c r="E165" s="45">
        <v>1</v>
      </c>
      <c r="F165" s="45">
        <v>4</v>
      </c>
      <c r="G165" s="45">
        <v>6</v>
      </c>
      <c r="H165" s="45">
        <v>60</v>
      </c>
      <c r="I165" s="45">
        <f>(8-1-0.75*2)*60*F165-K165-8*0.12*60</f>
        <v>404.4</v>
      </c>
      <c r="J165" s="45">
        <v>14</v>
      </c>
      <c r="K165" s="45">
        <f>(8-1-0.75*2)*0.65*60*F165</f>
        <v>858</v>
      </c>
      <c r="L165" s="48">
        <v>6.47</v>
      </c>
      <c r="M165" s="48">
        <v>6.47</v>
      </c>
      <c r="N165" s="45">
        <v>10</v>
      </c>
      <c r="O165" s="45">
        <f>E165/F165</f>
        <v>0.25</v>
      </c>
      <c r="P165" s="45">
        <v>180</v>
      </c>
      <c r="Q165" s="45">
        <v>90</v>
      </c>
      <c r="R165" s="47">
        <v>90</v>
      </c>
      <c r="S165" s="47">
        <v>1.27</v>
      </c>
      <c r="T165" s="48">
        <f>ROUND((L165*I165+1.3*L165*K165+S165*H165),4)</f>
        <v>9909.3060000000005</v>
      </c>
      <c r="U165" s="48">
        <f>ROUND((M165*I165+1.3*M165*K165+S165*H165),4)</f>
        <v>9909.3060000000005</v>
      </c>
      <c r="V165" s="48">
        <f>ROUND((M165*I165+1.3*M165*K165+S165*H165),4)</f>
        <v>9909.3060000000005</v>
      </c>
      <c r="W165" s="48">
        <f>ROUND((L165*J165+1.3*L165*N165+S165*G165),4)</f>
        <v>182.31</v>
      </c>
      <c r="X165" s="48">
        <f>ROUND((M165*J165+1.3*M165*N165+S165*G165),4)</f>
        <v>182.31</v>
      </c>
      <c r="Y165" s="48">
        <f>ROUND((M165*J165+1.3*M165*N165+S165*G165),4)</f>
        <v>182.31</v>
      </c>
      <c r="Z165" s="49">
        <f>ROUND((P165*T165*F165*O165/1000000),4)</f>
        <v>1.7837000000000001</v>
      </c>
      <c r="AA165" s="49">
        <f>ROUND((Q165*U165*F165*O165/1000000),4)</f>
        <v>0.89180000000000004</v>
      </c>
      <c r="AB165" s="49">
        <f>ROUND((R165*V165*F165*O165/1000000),4)</f>
        <v>0.89180000000000004</v>
      </c>
      <c r="AC165" s="50" t="s">
        <v>200</v>
      </c>
      <c r="AD165" s="51" t="s">
        <v>153</v>
      </c>
      <c r="AE165" s="44">
        <f>ROUND((((X165*E165)/1800)*0.8),4)</f>
        <v>8.1000000000000003E-2</v>
      </c>
      <c r="AF165" s="44">
        <f>ROUND(((Z165+AA165+AB165)*0.8),4)</f>
        <v>2.8538000000000001</v>
      </c>
    </row>
    <row r="166" spans="1:32" ht="12.95" customHeight="1" x14ac:dyDescent="0.25">
      <c r="A166" s="52"/>
      <c r="B166" s="53" t="s">
        <v>213</v>
      </c>
      <c r="C166" s="52"/>
      <c r="D166" s="52"/>
      <c r="E166" s="52"/>
      <c r="F166" s="63"/>
      <c r="G166" s="52"/>
      <c r="H166" s="52"/>
      <c r="I166" s="52"/>
      <c r="J166" s="52"/>
      <c r="K166" s="52"/>
      <c r="L166" s="56"/>
      <c r="M166" s="56"/>
      <c r="N166" s="52"/>
      <c r="O166" s="52"/>
      <c r="P166" s="63"/>
      <c r="Q166" s="63"/>
      <c r="R166" s="63"/>
      <c r="S166" s="57"/>
      <c r="T166" s="54"/>
      <c r="U166" s="54"/>
      <c r="V166" s="54"/>
      <c r="W166" s="54"/>
      <c r="X166" s="54"/>
      <c r="Y166" s="54"/>
      <c r="Z166" s="54"/>
      <c r="AA166" s="54"/>
      <c r="AB166" s="54"/>
      <c r="AC166" s="50" t="s">
        <v>201</v>
      </c>
      <c r="AD166" s="51" t="s">
        <v>202</v>
      </c>
      <c r="AE166" s="44">
        <f>ROUND((((X165*E165)/1800)*0.13),4)</f>
        <v>1.32E-2</v>
      </c>
      <c r="AF166" s="44">
        <f>ROUND(((Z165+AA165+AB165)*0.13),4)</f>
        <v>0.4637</v>
      </c>
    </row>
    <row r="167" spans="1:32" ht="12.95" customHeight="1" x14ac:dyDescent="0.25">
      <c r="A167" s="52"/>
      <c r="B167" s="98"/>
      <c r="C167" s="55"/>
      <c r="D167" s="55"/>
      <c r="E167" s="52"/>
      <c r="F167" s="63"/>
      <c r="G167" s="52"/>
      <c r="H167" s="52"/>
      <c r="I167" s="52"/>
      <c r="J167" s="52"/>
      <c r="K167" s="52"/>
      <c r="L167" s="59">
        <v>0.51</v>
      </c>
      <c r="M167" s="59">
        <v>0.63</v>
      </c>
      <c r="N167" s="52"/>
      <c r="O167" s="52"/>
      <c r="P167" s="63"/>
      <c r="Q167" s="63"/>
      <c r="R167" s="63"/>
      <c r="S167" s="60">
        <v>0.25</v>
      </c>
      <c r="T167" s="48">
        <f>ROUND((L167*I165+1.3*L167*K165+S167*H165),4)</f>
        <v>790.09799999999996</v>
      </c>
      <c r="U167" s="48">
        <f>ROUND((M167*0.9*I165+1.3*M167*0.9*K165+S167*H165),4)</f>
        <v>876.72659999999996</v>
      </c>
      <c r="V167" s="48">
        <f>ROUND((M167*I165+1.3*M167*K165+S167*H165),4)</f>
        <v>972.47400000000005</v>
      </c>
      <c r="W167" s="48">
        <f>ROUND((L167*J165+1.3*L167*N165+S167*G165),4)</f>
        <v>15.27</v>
      </c>
      <c r="X167" s="48">
        <f>ROUND((M167*0.9*J165+1.3*M167*0.9*N165+S167*G165),4)</f>
        <v>16.809000000000001</v>
      </c>
      <c r="Y167" s="48">
        <f>ROUND((M167*J165+1.3*M167*N165+S167*G165),4)</f>
        <v>18.510000000000002</v>
      </c>
      <c r="Z167" s="49">
        <f>ROUND((P165*T167*F165*O165/1000000),4)</f>
        <v>0.14219999999999999</v>
      </c>
      <c r="AA167" s="49">
        <f>ROUND((Q165*U167*F165*O165/1000000),4)</f>
        <v>7.8899999999999998E-2</v>
      </c>
      <c r="AB167" s="49">
        <f>ROUND((R165*V167*F165*O165/1000000),4)</f>
        <v>8.7499999999999994E-2</v>
      </c>
      <c r="AC167" s="50" t="s">
        <v>203</v>
      </c>
      <c r="AD167" s="51" t="s">
        <v>204</v>
      </c>
      <c r="AE167" s="44">
        <f>ROUND((((X167*E165)/1800)),4)</f>
        <v>9.2999999999999992E-3</v>
      </c>
      <c r="AF167" s="44">
        <f>ROUND(((Z167+AA167+AB167)),5)</f>
        <v>0.30859999999999999</v>
      </c>
    </row>
    <row r="168" spans="1:32" ht="12.95" customHeight="1" x14ac:dyDescent="0.25">
      <c r="A168" s="52"/>
      <c r="B168" s="53"/>
      <c r="C168" s="52"/>
      <c r="D168" s="52"/>
      <c r="E168" s="52"/>
      <c r="F168" s="63"/>
      <c r="G168" s="52"/>
      <c r="H168" s="52"/>
      <c r="I168" s="52"/>
      <c r="J168" s="52"/>
      <c r="K168" s="52"/>
      <c r="L168" s="59">
        <v>1.1399999999999999</v>
      </c>
      <c r="M168" s="59">
        <v>1.37</v>
      </c>
      <c r="N168" s="52"/>
      <c r="O168" s="52"/>
      <c r="P168" s="63"/>
      <c r="Q168" s="63"/>
      <c r="R168" s="63"/>
      <c r="S168" s="61">
        <v>0.79</v>
      </c>
      <c r="T168" s="48">
        <f>ROUND((L168*I165+1.3*L168*K165+S168*H165),4)</f>
        <v>1779.972</v>
      </c>
      <c r="U168" s="48">
        <f>ROUND((M168*0.9*I165+1.3*M168*0.9*K165+S168*H165),4)</f>
        <v>1921.3134</v>
      </c>
      <c r="V168" s="48">
        <f>ROUND((M168*I165+1.3*M168*K165+S168*H165),4)</f>
        <v>2129.5259999999998</v>
      </c>
      <c r="W168" s="48">
        <f>ROUND((L168*J165+1.3*L168*N165+S168*G165),4)</f>
        <v>35.520000000000003</v>
      </c>
      <c r="X168" s="48">
        <f>ROUND((M168*0.9*J165+1.3*M168*0.9*N165+S168*G165),4)</f>
        <v>38.030999999999999</v>
      </c>
      <c r="Y168" s="48">
        <f>ROUND((M168*J165+1.3*N165+S168*G165),4)</f>
        <v>36.92</v>
      </c>
      <c r="Z168" s="49">
        <f>ROUND((P165*T168*F165*O165/1000000),4)</f>
        <v>0.32040000000000002</v>
      </c>
      <c r="AA168" s="49">
        <f>ROUND((Q165*U168*F165*O165/1000000),4)</f>
        <v>0.1729</v>
      </c>
      <c r="AB168" s="49">
        <f>ROUND((R165*V168*F165*O165/1000000),4)</f>
        <v>0.19170000000000001</v>
      </c>
      <c r="AC168" s="50" t="s">
        <v>205</v>
      </c>
      <c r="AD168" s="51" t="s">
        <v>206</v>
      </c>
      <c r="AE168" s="44">
        <f>ROUND((((X168*E165)/1800)),4)</f>
        <v>2.1100000000000001E-2</v>
      </c>
      <c r="AF168" s="44">
        <f>ROUND(((Z168+AA168+AB168)),4)</f>
        <v>0.68500000000000005</v>
      </c>
    </row>
    <row r="169" spans="1:32" ht="12.95" customHeight="1" x14ac:dyDescent="0.25">
      <c r="A169" s="52"/>
      <c r="B169" s="53"/>
      <c r="C169" s="52"/>
      <c r="D169" s="52"/>
      <c r="E169" s="52"/>
      <c r="F169" s="63"/>
      <c r="G169" s="52"/>
      <c r="H169" s="52"/>
      <c r="I169" s="52"/>
      <c r="J169" s="52"/>
      <c r="K169" s="52"/>
      <c r="L169" s="59">
        <v>0.72</v>
      </c>
      <c r="M169" s="59">
        <v>1.08</v>
      </c>
      <c r="N169" s="52"/>
      <c r="O169" s="52"/>
      <c r="P169" s="63"/>
      <c r="Q169" s="63"/>
      <c r="R169" s="63"/>
      <c r="S169" s="61">
        <v>0.17</v>
      </c>
      <c r="T169" s="48">
        <f>ROUND((L169*I165+1.3*L169*K165+S169*H165),4)</f>
        <v>1104.4559999999999</v>
      </c>
      <c r="U169" s="48">
        <f>ROUND((M169*0.9*I165+1.3*M169*0.9*K165+S169*H165),4)</f>
        <v>1487.4456</v>
      </c>
      <c r="V169" s="48">
        <f>ROUND((M169*I165+1.3*M169*K165+S169*H165),4)</f>
        <v>1651.5840000000001</v>
      </c>
      <c r="W169" s="48">
        <f>ROUND((L169*J165+1.3*L169*N165+S169*G165),4)</f>
        <v>20.46</v>
      </c>
      <c r="X169" s="48">
        <f>ROUND((M169*0.9*J165+1.3*M169*0.9*N165+S169*G165),4)</f>
        <v>27.263999999999999</v>
      </c>
      <c r="Y169" s="48">
        <f>ROUND((M169*J165+1.3*M169*N165+S169*G165),4)</f>
        <v>30.18</v>
      </c>
      <c r="Z169" s="49">
        <f>ROUND((P165*T169*F165*O165/1000000),4)</f>
        <v>0.1988</v>
      </c>
      <c r="AA169" s="49">
        <f>ROUND((Q165*U169*F165*O165/1000000),4)</f>
        <v>0.13389999999999999</v>
      </c>
      <c r="AB169" s="49">
        <f>ROUND((R165*V169*F165*O165/1000000),4)</f>
        <v>0.14860000000000001</v>
      </c>
      <c r="AC169" s="50" t="s">
        <v>250</v>
      </c>
      <c r="AD169" s="51" t="s">
        <v>208</v>
      </c>
      <c r="AE169" s="44">
        <f>ROUND((((X169*E165)/1800)),4)</f>
        <v>1.5100000000000001E-2</v>
      </c>
      <c r="AF169" s="44">
        <f>ROUND(((Z169+AA169+AB169)),4)</f>
        <v>0.48130000000000001</v>
      </c>
    </row>
    <row r="170" spans="1:32" ht="12.95" customHeight="1" x14ac:dyDescent="0.25">
      <c r="A170" s="52"/>
      <c r="B170" s="62"/>
      <c r="C170" s="56"/>
      <c r="D170" s="56"/>
      <c r="E170" s="56"/>
      <c r="F170" s="66"/>
      <c r="G170" s="56"/>
      <c r="H170" s="56"/>
      <c r="I170" s="56"/>
      <c r="J170" s="56"/>
      <c r="K170" s="56"/>
      <c r="L170" s="59">
        <v>3.37</v>
      </c>
      <c r="M170" s="59">
        <v>4.1100000000000003</v>
      </c>
      <c r="N170" s="56"/>
      <c r="O170" s="56"/>
      <c r="P170" s="66"/>
      <c r="Q170" s="66"/>
      <c r="R170" s="66"/>
      <c r="S170" s="61">
        <v>6.31</v>
      </c>
      <c r="T170" s="48">
        <f>ROUND((L170*I165+1.3*L170*K165+S170*H165),4)</f>
        <v>5500.326</v>
      </c>
      <c r="U170" s="48">
        <f>ROUND((M170*0.9*I165+1.3*M170*0.9*K165+S170*H165),4)</f>
        <v>6000.3401999999996</v>
      </c>
      <c r="V170" s="48">
        <f>ROUND((M170*I165+1.3*M170*K165+S170*H165),4)</f>
        <v>6624.9780000000001</v>
      </c>
      <c r="W170" s="48">
        <f>ROUND((L170*J165+1.3*L170*N165+S170*G165),4)</f>
        <v>128.85</v>
      </c>
      <c r="X170" s="48">
        <f>ROUND((M170*0.9*J165+1.3*M170*0.9*N165+S170*G165),4)</f>
        <v>137.733</v>
      </c>
      <c r="Y170" s="48">
        <f>ROUND((M170*J165+1.3*M170*N165+S170*G165),4)</f>
        <v>148.83000000000001</v>
      </c>
      <c r="Z170" s="49">
        <f>ROUND((P165*T170*F165*O165/1000000),4)</f>
        <v>0.99009999999999998</v>
      </c>
      <c r="AA170" s="49">
        <f>ROUND((Q165*U170*F165*O165/1000000),4)</f>
        <v>0.54</v>
      </c>
      <c r="AB170" s="49">
        <f>ROUND((R165*V170*F165*O165/1000000),4)</f>
        <v>0.59619999999999995</v>
      </c>
      <c r="AC170" s="50" t="s">
        <v>170</v>
      </c>
      <c r="AD170" s="51" t="s">
        <v>162</v>
      </c>
      <c r="AE170" s="44">
        <f>ROUND((((X170*E165)/1800)),4)</f>
        <v>7.6499999999999999E-2</v>
      </c>
      <c r="AF170" s="44">
        <f>ROUND(((Z170+AA170+AB170)),4)</f>
        <v>2.1263000000000001</v>
      </c>
    </row>
    <row r="171" spans="1:32" ht="12.95" customHeight="1" x14ac:dyDescent="0.25">
      <c r="A171" s="52"/>
      <c r="B171" s="67" t="s">
        <v>214</v>
      </c>
      <c r="C171" s="46">
        <v>6</v>
      </c>
      <c r="D171" s="45" t="s">
        <v>210</v>
      </c>
      <c r="E171" s="45">
        <v>1</v>
      </c>
      <c r="F171" s="45">
        <v>4</v>
      </c>
      <c r="G171" s="45">
        <v>6</v>
      </c>
      <c r="H171" s="45">
        <v>60</v>
      </c>
      <c r="I171" s="45">
        <f>(8-1-0.75*2)*60*F171-K171-8*0.12*60</f>
        <v>404.4</v>
      </c>
      <c r="J171" s="45">
        <v>14</v>
      </c>
      <c r="K171" s="45">
        <f>(8-1-0.75*2)*0.65*60*F171</f>
        <v>858</v>
      </c>
      <c r="L171" s="48">
        <v>6.47</v>
      </c>
      <c r="M171" s="48">
        <v>6.47</v>
      </c>
      <c r="N171" s="45">
        <v>10</v>
      </c>
      <c r="O171" s="45">
        <f>E171/F171</f>
        <v>0.25</v>
      </c>
      <c r="P171" s="45">
        <v>180</v>
      </c>
      <c r="Q171" s="45">
        <v>90</v>
      </c>
      <c r="R171" s="47">
        <v>30</v>
      </c>
      <c r="S171" s="47">
        <v>1.27</v>
      </c>
      <c r="T171" s="48">
        <f>ROUND((L171*I171+1.3*L171*K171+S171*H171),4)</f>
        <v>9909.3060000000005</v>
      </c>
      <c r="U171" s="48">
        <f>ROUND((M171*I171+1.3*M171*K171+S171*H171),4)</f>
        <v>9909.3060000000005</v>
      </c>
      <c r="V171" s="48">
        <f>ROUND((M171*I171+1.3*M171*K171+S171*H171),4)</f>
        <v>9909.3060000000005</v>
      </c>
      <c r="W171" s="48">
        <f>ROUND((L171*J171+1.3*L171*N171+S171*G171),4)</f>
        <v>182.31</v>
      </c>
      <c r="X171" s="48">
        <f>ROUND((M171*J171+1.3*M171*N171+S171*G171),4)</f>
        <v>182.31</v>
      </c>
      <c r="Y171" s="48">
        <f>ROUND((M171*J171+1.3*M171*N171+S171*G171),4)</f>
        <v>182.31</v>
      </c>
      <c r="Z171" s="49">
        <f>ROUND((P171*T171*F171*O171/1000000),4)</f>
        <v>1.7837000000000001</v>
      </c>
      <c r="AA171" s="49">
        <f>ROUND((Q171*U171*F171*O171/1000000),4)</f>
        <v>0.89180000000000004</v>
      </c>
      <c r="AB171" s="49">
        <f>ROUND((R171*V171*F171*O171/1000000),4)</f>
        <v>0.29730000000000001</v>
      </c>
      <c r="AC171" s="50" t="s">
        <v>200</v>
      </c>
      <c r="AD171" s="51" t="s">
        <v>153</v>
      </c>
      <c r="AE171" s="44">
        <f>ROUND((((X171*E171)/1800)*0.8),4)</f>
        <v>8.1000000000000003E-2</v>
      </c>
      <c r="AF171" s="44">
        <f>ROUND(((Z171+AA171+AB171)*0.8),4)</f>
        <v>2.3782000000000001</v>
      </c>
    </row>
    <row r="172" spans="1:32" ht="12.95" customHeight="1" x14ac:dyDescent="0.25">
      <c r="A172" s="52"/>
      <c r="B172" s="53" t="s">
        <v>215</v>
      </c>
      <c r="C172" s="52"/>
      <c r="D172" s="52"/>
      <c r="E172" s="52"/>
      <c r="F172" s="52"/>
      <c r="G172" s="52"/>
      <c r="H172" s="52"/>
      <c r="I172" s="52"/>
      <c r="J172" s="52"/>
      <c r="K172" s="52"/>
      <c r="L172" s="56"/>
      <c r="M172" s="56"/>
      <c r="N172" s="52"/>
      <c r="O172" s="52"/>
      <c r="P172" s="63"/>
      <c r="Q172" s="63"/>
      <c r="R172" s="52"/>
      <c r="S172" s="57"/>
      <c r="T172" s="54"/>
      <c r="U172" s="54"/>
      <c r="V172" s="54"/>
      <c r="W172" s="54"/>
      <c r="X172" s="54"/>
      <c r="Y172" s="54"/>
      <c r="Z172" s="54"/>
      <c r="AA172" s="54"/>
      <c r="AB172" s="54"/>
      <c r="AC172" s="50" t="s">
        <v>201</v>
      </c>
      <c r="AD172" s="51" t="s">
        <v>202</v>
      </c>
      <c r="AE172" s="44">
        <f>ROUND((((X171*E171)/1800)*0.13),4)</f>
        <v>1.32E-2</v>
      </c>
      <c r="AF172" s="44">
        <f>ROUND(((Z171+AA171+AB171)*0.13),4)</f>
        <v>0.38650000000000001</v>
      </c>
    </row>
    <row r="173" spans="1:32" ht="12.95" customHeight="1" x14ac:dyDescent="0.25">
      <c r="A173" s="52"/>
      <c r="B173" s="88"/>
      <c r="C173" s="55"/>
      <c r="D173" s="55"/>
      <c r="E173" s="52"/>
      <c r="F173" s="52"/>
      <c r="G173" s="52"/>
      <c r="H173" s="52"/>
      <c r="I173" s="52"/>
      <c r="J173" s="52"/>
      <c r="K173" s="52"/>
      <c r="L173" s="59">
        <v>0.51</v>
      </c>
      <c r="M173" s="59">
        <v>0.63</v>
      </c>
      <c r="N173" s="52"/>
      <c r="O173" s="52"/>
      <c r="P173" s="63"/>
      <c r="Q173" s="63"/>
      <c r="R173" s="52"/>
      <c r="S173" s="60">
        <v>0.25</v>
      </c>
      <c r="T173" s="48">
        <f>ROUND((L173*I171+1.3*L173*K171+S173*H171),4)</f>
        <v>790.09799999999996</v>
      </c>
      <c r="U173" s="48">
        <f>ROUND((M173*0.9*I171+1.3*M173*0.9*K171+S173*H171),4)</f>
        <v>876.72659999999996</v>
      </c>
      <c r="V173" s="48">
        <f>ROUND((M173*I171+1.3*M173*K171+S173*H171),4)</f>
        <v>972.47400000000005</v>
      </c>
      <c r="W173" s="48">
        <f>ROUND((L173*J171+1.3*L173*N171+S173*G171),4)</f>
        <v>15.27</v>
      </c>
      <c r="X173" s="48">
        <f>ROUND((M173*0.9*J171+1.3*M173*0.9*N171+S173*G171),4)</f>
        <v>16.809000000000001</v>
      </c>
      <c r="Y173" s="48">
        <f>ROUND((M173*J171+1.3*M173*N171+S173*G171),4)</f>
        <v>18.510000000000002</v>
      </c>
      <c r="Z173" s="49">
        <f>ROUND((P171*T173*F171*O171/1000000),4)</f>
        <v>0.14219999999999999</v>
      </c>
      <c r="AA173" s="49">
        <f>ROUND((Q171*U173*F171*O171/1000000),4)</f>
        <v>7.8899999999999998E-2</v>
      </c>
      <c r="AB173" s="49">
        <f>ROUND((R171*V173*F171*O171/1000000),4)</f>
        <v>2.92E-2</v>
      </c>
      <c r="AC173" s="50" t="s">
        <v>203</v>
      </c>
      <c r="AD173" s="51" t="s">
        <v>204</v>
      </c>
      <c r="AE173" s="44">
        <f>ROUND((((X173*E171)/1800)),4)</f>
        <v>9.2999999999999992E-3</v>
      </c>
      <c r="AF173" s="44">
        <f>ROUND(((Z173+AA173+AB173)),5)</f>
        <v>0.25030000000000002</v>
      </c>
    </row>
    <row r="174" spans="1:32" ht="12.95" customHeight="1" x14ac:dyDescent="0.25">
      <c r="A174" s="52"/>
      <c r="B174" s="88"/>
      <c r="C174" s="52"/>
      <c r="D174" s="52"/>
      <c r="E174" s="52"/>
      <c r="F174" s="52"/>
      <c r="G174" s="52"/>
      <c r="H174" s="52"/>
      <c r="I174" s="52"/>
      <c r="J174" s="52"/>
      <c r="K174" s="52"/>
      <c r="L174" s="59">
        <v>1.1399999999999999</v>
      </c>
      <c r="M174" s="59">
        <v>1.37</v>
      </c>
      <c r="N174" s="52"/>
      <c r="O174" s="52"/>
      <c r="P174" s="63"/>
      <c r="Q174" s="63"/>
      <c r="R174" s="52"/>
      <c r="S174" s="61">
        <v>0.79</v>
      </c>
      <c r="T174" s="48">
        <f>ROUND((L174*I171+1.3*L174*K171+S174*H171),4)</f>
        <v>1779.972</v>
      </c>
      <c r="U174" s="48">
        <f>ROUND((M174*0.9*I171+1.3*M174*0.9*K171+S174*H171),4)</f>
        <v>1921.3134</v>
      </c>
      <c r="V174" s="48">
        <f>ROUND((M174*I171+1.3*M174*K171+S174*H171),4)</f>
        <v>2129.5259999999998</v>
      </c>
      <c r="W174" s="48">
        <f>ROUND((L174*J171+1.3*L174*N171+S174*G171),4)</f>
        <v>35.520000000000003</v>
      </c>
      <c r="X174" s="48">
        <f>ROUND((M174*0.9*J171+1.3*M174*0.9*N171+S174*G171),4)</f>
        <v>38.030999999999999</v>
      </c>
      <c r="Y174" s="48">
        <f>ROUND((M174*J171+1.3*N171+S174*G171),4)</f>
        <v>36.92</v>
      </c>
      <c r="Z174" s="49">
        <f>ROUND((P171*T174*F171*O171/1000000),4)</f>
        <v>0.32040000000000002</v>
      </c>
      <c r="AA174" s="49">
        <f>ROUND((Q171*U174*F171*O171/1000000),4)</f>
        <v>0.1729</v>
      </c>
      <c r="AB174" s="49">
        <f>ROUND((R171*V174*F171*O171/1000000),4)</f>
        <v>6.3899999999999998E-2</v>
      </c>
      <c r="AC174" s="50" t="s">
        <v>205</v>
      </c>
      <c r="AD174" s="51" t="s">
        <v>206</v>
      </c>
      <c r="AE174" s="44">
        <f>ROUND((((X174*E171)/1800)),4)</f>
        <v>2.1100000000000001E-2</v>
      </c>
      <c r="AF174" s="44">
        <f>ROUND(((Z174+AA174+AB174)),4)</f>
        <v>0.55720000000000003</v>
      </c>
    </row>
    <row r="175" spans="1:32" ht="12.95" customHeight="1" x14ac:dyDescent="0.25">
      <c r="A175" s="52"/>
      <c r="B175" s="53"/>
      <c r="C175" s="52"/>
      <c r="D175" s="52"/>
      <c r="E175" s="52"/>
      <c r="F175" s="52"/>
      <c r="G175" s="52"/>
      <c r="H175" s="52"/>
      <c r="I175" s="52"/>
      <c r="J175" s="52"/>
      <c r="K175" s="52"/>
      <c r="L175" s="59">
        <v>0.72</v>
      </c>
      <c r="M175" s="59">
        <v>1.08</v>
      </c>
      <c r="N175" s="52"/>
      <c r="O175" s="52"/>
      <c r="P175" s="63"/>
      <c r="Q175" s="63"/>
      <c r="R175" s="52"/>
      <c r="S175" s="61">
        <v>0.17</v>
      </c>
      <c r="T175" s="48">
        <f>ROUND((L175*I171+1.3*L175*K171+S175*H171),4)</f>
        <v>1104.4559999999999</v>
      </c>
      <c r="U175" s="48">
        <f>ROUND((M175*0.9*I171+1.3*M175*0.9*K171+S175*H171),4)</f>
        <v>1487.4456</v>
      </c>
      <c r="V175" s="48">
        <f>ROUND((M175*I171+1.3*M175*K171+S175*H171),4)</f>
        <v>1651.5840000000001</v>
      </c>
      <c r="W175" s="48">
        <f>ROUND((L175*J171+1.3*L175*N171+S175*G171),4)</f>
        <v>20.46</v>
      </c>
      <c r="X175" s="48">
        <f>ROUND((M175*0.9*J171+1.3*M175*0.9*N171+S175*G171),4)</f>
        <v>27.263999999999999</v>
      </c>
      <c r="Y175" s="48">
        <f>ROUND((M175*J171+1.3*M175*N171+S175*G171),4)</f>
        <v>30.18</v>
      </c>
      <c r="Z175" s="49">
        <f>ROUND((P171*T175*F171*O171/1000000),4)</f>
        <v>0.1988</v>
      </c>
      <c r="AA175" s="49">
        <f>ROUND((Q171*U175*F171*O171/1000000),4)</f>
        <v>0.13389999999999999</v>
      </c>
      <c r="AB175" s="49">
        <f>ROUND((R171*V175*F171*O171/1000000),4)</f>
        <v>4.9500000000000002E-2</v>
      </c>
      <c r="AC175" s="50" t="s">
        <v>250</v>
      </c>
      <c r="AD175" s="51" t="s">
        <v>208</v>
      </c>
      <c r="AE175" s="44">
        <f>ROUND((((X175*E171)/1800)),4)</f>
        <v>1.5100000000000001E-2</v>
      </c>
      <c r="AF175" s="44">
        <f>ROUND(((Z175+AA175+AB175)),4)</f>
        <v>0.38219999999999998</v>
      </c>
    </row>
    <row r="176" spans="1:32" ht="12.95" customHeight="1" x14ac:dyDescent="0.25">
      <c r="A176" s="52"/>
      <c r="B176" s="62"/>
      <c r="C176" s="56"/>
      <c r="D176" s="56"/>
      <c r="E176" s="56"/>
      <c r="F176" s="56"/>
      <c r="G176" s="56"/>
      <c r="H176" s="56"/>
      <c r="I176" s="56"/>
      <c r="J176" s="56"/>
      <c r="K176" s="56"/>
      <c r="L176" s="59">
        <v>3.37</v>
      </c>
      <c r="M176" s="59">
        <v>4.1100000000000003</v>
      </c>
      <c r="N176" s="56"/>
      <c r="O176" s="56"/>
      <c r="P176" s="66"/>
      <c r="Q176" s="66"/>
      <c r="R176" s="56"/>
      <c r="S176" s="61">
        <v>6.31</v>
      </c>
      <c r="T176" s="48">
        <f>ROUND((L176*I171+1.3*L176*K171+S176*H171),4)</f>
        <v>5500.326</v>
      </c>
      <c r="U176" s="48">
        <f>ROUND((M176*0.9*I171+1.3*M176*0.9*K171+S176*H171),4)</f>
        <v>6000.3401999999996</v>
      </c>
      <c r="V176" s="48">
        <f>ROUND((M176*I171+1.3*M176*K171+S176*H171),4)</f>
        <v>6624.9780000000001</v>
      </c>
      <c r="W176" s="48">
        <f>ROUND((L176*J171+1.3*L176*N171+S176*G171),4)</f>
        <v>128.85</v>
      </c>
      <c r="X176" s="48">
        <f>ROUND((M176*0.9*J171+1.3*M176*0.9*N171+S176*G171),4)</f>
        <v>137.733</v>
      </c>
      <c r="Y176" s="48">
        <f>ROUND((M176*J171+1.3*M176*N171+S176*G171),4)</f>
        <v>148.83000000000001</v>
      </c>
      <c r="Z176" s="49">
        <f>ROUND((P171*T176*F171*O171/1000000),4)</f>
        <v>0.99009999999999998</v>
      </c>
      <c r="AA176" s="49">
        <f>ROUND((Q171*U176*F171*O171/1000000),4)</f>
        <v>0.54</v>
      </c>
      <c r="AB176" s="49">
        <f>ROUND((R171*V176*F171*O171/1000000),4)</f>
        <v>0.19869999999999999</v>
      </c>
      <c r="AC176" s="50" t="s">
        <v>170</v>
      </c>
      <c r="AD176" s="51" t="s">
        <v>162</v>
      </c>
      <c r="AE176" s="44">
        <f>ROUND((((X176*E171)/1800)),4)</f>
        <v>7.6499999999999999E-2</v>
      </c>
      <c r="AF176" s="44">
        <f>ROUND(((Z176+AA176+AB176)),4)</f>
        <v>1.7287999999999999</v>
      </c>
    </row>
    <row r="177" spans="1:32" ht="12.95" customHeight="1" x14ac:dyDescent="0.25">
      <c r="A177" s="52"/>
      <c r="B177" s="67" t="s">
        <v>214</v>
      </c>
      <c r="C177" s="46">
        <v>7</v>
      </c>
      <c r="D177" s="45" t="s">
        <v>217</v>
      </c>
      <c r="E177" s="45">
        <v>1</v>
      </c>
      <c r="F177" s="45">
        <v>4</v>
      </c>
      <c r="G177" s="45">
        <v>6</v>
      </c>
      <c r="H177" s="45">
        <v>60</v>
      </c>
      <c r="I177" s="45">
        <f>(8-1-0.75*2)*60*F177-K177-8*0.12*60</f>
        <v>404.4</v>
      </c>
      <c r="J177" s="45">
        <v>14</v>
      </c>
      <c r="K177" s="45">
        <f>(8-1-0.75*2)*0.65*60*F177</f>
        <v>858</v>
      </c>
      <c r="L177" s="48">
        <v>10.16</v>
      </c>
      <c r="M177" s="48">
        <v>10.16</v>
      </c>
      <c r="N177" s="45">
        <v>10</v>
      </c>
      <c r="O177" s="45">
        <f>E177/F177</f>
        <v>0.25</v>
      </c>
      <c r="P177" s="45">
        <v>180</v>
      </c>
      <c r="Q177" s="45">
        <v>90</v>
      </c>
      <c r="R177" s="47">
        <v>30</v>
      </c>
      <c r="S177" s="47">
        <v>1.99</v>
      </c>
      <c r="T177" s="48">
        <f>ROUND((L177*I177+1.3*L177*K177+S177*H177),4)</f>
        <v>15560.567999999999</v>
      </c>
      <c r="U177" s="48">
        <f>ROUND((M177*I177+1.3*M177*K177+S177*H177),4)</f>
        <v>15560.567999999999</v>
      </c>
      <c r="V177" s="48">
        <f>ROUND((M177*I177+1.3*M177*K177+S177*H177),4)</f>
        <v>15560.567999999999</v>
      </c>
      <c r="W177" s="48">
        <f>ROUND((L177*J177+1.3*L177*N177+S177*G177),4)</f>
        <v>286.26</v>
      </c>
      <c r="X177" s="48">
        <f>ROUND((M177*J177+1.3*M177*N177+S177*G177),4)</f>
        <v>286.26</v>
      </c>
      <c r="Y177" s="48">
        <f>ROUND((M177*J177+1.3*M177*N177+S177*G177),4)</f>
        <v>286.26</v>
      </c>
      <c r="Z177" s="49">
        <f>ROUND((P177*T177*F177*O177/1000000),4)</f>
        <v>2.8008999999999999</v>
      </c>
      <c r="AA177" s="49">
        <f>ROUND((Q177*U177*F177*O177/1000000),4)</f>
        <v>1.4005000000000001</v>
      </c>
      <c r="AB177" s="49">
        <f>ROUND((R177*V177*F177*O177/1000000),4)</f>
        <v>0.46679999999999999</v>
      </c>
      <c r="AC177" s="50" t="s">
        <v>200</v>
      </c>
      <c r="AD177" s="51" t="s">
        <v>153</v>
      </c>
      <c r="AE177" s="44">
        <f>ROUND((((X177*E177)/1800)*0.8),4)</f>
        <v>0.12720000000000001</v>
      </c>
      <c r="AF177" s="44">
        <f>ROUND(((Z177+AA177+AB177)*0.8),4)</f>
        <v>3.7345999999999999</v>
      </c>
    </row>
    <row r="178" spans="1:32" ht="12.95" customHeight="1" x14ac:dyDescent="0.25">
      <c r="A178" s="52"/>
      <c r="B178" s="53" t="s">
        <v>216</v>
      </c>
      <c r="C178" s="52"/>
      <c r="D178" s="52"/>
      <c r="E178" s="52"/>
      <c r="F178" s="63"/>
      <c r="G178" s="52"/>
      <c r="H178" s="52"/>
      <c r="I178" s="52"/>
      <c r="J178" s="52"/>
      <c r="K178" s="52"/>
      <c r="L178" s="56"/>
      <c r="M178" s="56"/>
      <c r="N178" s="52"/>
      <c r="O178" s="52"/>
      <c r="P178" s="52"/>
      <c r="Q178" s="52"/>
      <c r="R178" s="52"/>
      <c r="S178" s="57"/>
      <c r="T178" s="54"/>
      <c r="U178" s="54"/>
      <c r="V178" s="54"/>
      <c r="W178" s="54"/>
      <c r="X178" s="54"/>
      <c r="Y178" s="54"/>
      <c r="Z178" s="54"/>
      <c r="AA178" s="54"/>
      <c r="AB178" s="54"/>
      <c r="AC178" s="50" t="s">
        <v>201</v>
      </c>
      <c r="AD178" s="51" t="s">
        <v>202</v>
      </c>
      <c r="AE178" s="44">
        <f>ROUND((((X177*E177)/1800)*0.13),4)</f>
        <v>2.07E-2</v>
      </c>
      <c r="AF178" s="44">
        <f>ROUND(((Z177+AA177+AB177)*0.13),4)</f>
        <v>0.6069</v>
      </c>
    </row>
    <row r="179" spans="1:32" ht="12.95" customHeight="1" x14ac:dyDescent="0.25">
      <c r="A179" s="52"/>
      <c r="B179" s="88"/>
      <c r="C179" s="55"/>
      <c r="D179" s="55"/>
      <c r="E179" s="52"/>
      <c r="F179" s="63"/>
      <c r="G179" s="52"/>
      <c r="H179" s="52"/>
      <c r="I179" s="52"/>
      <c r="J179" s="52"/>
      <c r="K179" s="52"/>
      <c r="L179" s="59">
        <v>0.8</v>
      </c>
      <c r="M179" s="59">
        <v>0.98</v>
      </c>
      <c r="N179" s="52"/>
      <c r="O179" s="52"/>
      <c r="P179" s="52"/>
      <c r="Q179" s="52"/>
      <c r="R179" s="52"/>
      <c r="S179" s="60">
        <v>0.39</v>
      </c>
      <c r="T179" s="48">
        <f>ROUND((L179*I177+1.3*L179*K177+S179*H177),4)</f>
        <v>1239.24</v>
      </c>
      <c r="U179" s="48">
        <f>ROUND((M179*0.9*I177+1.3*M179*0.9*K177+S179*H177),4)</f>
        <v>1363.8635999999999</v>
      </c>
      <c r="V179" s="48">
        <f>ROUND((M179*I177+1.3*M179*K177+S179*H177),4)</f>
        <v>1512.8040000000001</v>
      </c>
      <c r="W179" s="48">
        <f>ROUND((L179*J177+1.3*L179*N177+S179*G177),4)</f>
        <v>23.94</v>
      </c>
      <c r="X179" s="48">
        <f>ROUND((M179*0.9*J177+1.3*M179*0.9*N177+S179*G177),4)</f>
        <v>26.154</v>
      </c>
      <c r="Y179" s="48">
        <f>ROUND((M179*J177+1.3*M179*N177+S179*G177),4)</f>
        <v>28.8</v>
      </c>
      <c r="Z179" s="49">
        <f>ROUND((P177*T179*F177*O177/1000000),4)</f>
        <v>0.22309999999999999</v>
      </c>
      <c r="AA179" s="49">
        <f>ROUND((Q177*U179*F177*O177/1000000),4)</f>
        <v>0.1227</v>
      </c>
      <c r="AB179" s="49">
        <f>ROUND((R177*V179*F177*O177/1000000),4)</f>
        <v>4.5400000000000003E-2</v>
      </c>
      <c r="AC179" s="50" t="s">
        <v>203</v>
      </c>
      <c r="AD179" s="51" t="s">
        <v>204</v>
      </c>
      <c r="AE179" s="44">
        <f>ROUND((((X179*E177)/1800)),4)</f>
        <v>1.4500000000000001E-2</v>
      </c>
      <c r="AF179" s="44">
        <f>ROUND(((Z179+AA179+AB179)),5)</f>
        <v>0.39119999999999999</v>
      </c>
    </row>
    <row r="180" spans="1:32" ht="12.95" customHeight="1" x14ac:dyDescent="0.25">
      <c r="A180" s="52"/>
      <c r="B180" s="88"/>
      <c r="C180" s="52"/>
      <c r="D180" s="52"/>
      <c r="E180" s="52"/>
      <c r="F180" s="63"/>
      <c r="G180" s="52"/>
      <c r="H180" s="52"/>
      <c r="I180" s="52"/>
      <c r="J180" s="52"/>
      <c r="K180" s="52"/>
      <c r="L180" s="59">
        <v>1.79</v>
      </c>
      <c r="M180" s="59">
        <v>2.15</v>
      </c>
      <c r="N180" s="52"/>
      <c r="O180" s="52"/>
      <c r="P180" s="52"/>
      <c r="Q180" s="52"/>
      <c r="R180" s="52"/>
      <c r="S180" s="61">
        <v>1.24</v>
      </c>
      <c r="T180" s="48">
        <f>ROUND((L180*I177+1.3*L180*K177+S180*H177),4)</f>
        <v>2794.8420000000001</v>
      </c>
      <c r="U180" s="48">
        <f>ROUND((M180*0.9*I177+1.3*M180*0.9*K177+S180*H177),4)</f>
        <v>3015.2130000000002</v>
      </c>
      <c r="V180" s="48">
        <f>ROUND((M180*I177+1.3*M180*K177+S180*H177),4)</f>
        <v>3341.97</v>
      </c>
      <c r="W180" s="48">
        <f>ROUND((L180*J177+1.3*L180*N177+S180*G177),4)</f>
        <v>55.77</v>
      </c>
      <c r="X180" s="48">
        <f>ROUND((M180*0.9*J177+1.3*M180*0.9*N177+S180*G177),4)</f>
        <v>59.685000000000002</v>
      </c>
      <c r="Y180" s="48">
        <f>ROUND((M180*J177+1.3*N177+S180*G177),4)</f>
        <v>50.54</v>
      </c>
      <c r="Z180" s="49">
        <f>ROUND((P177*T180*F177*O177/1000000),4)</f>
        <v>0.50309999999999999</v>
      </c>
      <c r="AA180" s="49">
        <f>ROUND((Q177*U180*F177*O177/1000000),4)</f>
        <v>0.27139999999999997</v>
      </c>
      <c r="AB180" s="49">
        <f>ROUND((R177*V180*F177*O177/1000000),4)</f>
        <v>0.1003</v>
      </c>
      <c r="AC180" s="50" t="s">
        <v>205</v>
      </c>
      <c r="AD180" s="51" t="s">
        <v>206</v>
      </c>
      <c r="AE180" s="44">
        <f>ROUND((((X180*E177)/1800)),4)</f>
        <v>3.32E-2</v>
      </c>
      <c r="AF180" s="44">
        <f>ROUND(((Z180+AA180+AB180)),4)</f>
        <v>0.87480000000000002</v>
      </c>
    </row>
    <row r="181" spans="1:32" ht="12.95" customHeight="1" x14ac:dyDescent="0.25">
      <c r="A181" s="52"/>
      <c r="B181" s="53"/>
      <c r="C181" s="52"/>
      <c r="D181" s="52"/>
      <c r="E181" s="52"/>
      <c r="F181" s="63"/>
      <c r="G181" s="52"/>
      <c r="H181" s="52"/>
      <c r="I181" s="52"/>
      <c r="J181" s="52"/>
      <c r="K181" s="52"/>
      <c r="L181" s="59">
        <v>1.1299999999999999</v>
      </c>
      <c r="M181" s="59">
        <v>1.7</v>
      </c>
      <c r="N181" s="52"/>
      <c r="O181" s="52"/>
      <c r="P181" s="52"/>
      <c r="Q181" s="52"/>
      <c r="R181" s="52"/>
      <c r="S181" s="61">
        <v>0.26</v>
      </c>
      <c r="T181" s="48">
        <f>ROUND((L181*I177+1.3*L181*K177+S181*H177),4)</f>
        <v>1732.9739999999999</v>
      </c>
      <c r="U181" s="48">
        <f>ROUND((M181*0.9*I177+1.3*M181*0.9*K177+S181*H177),4)</f>
        <v>2340.8939999999998</v>
      </c>
      <c r="V181" s="48">
        <f>ROUND((M181*I177+1.3*M181*K177+S181*H177),4)</f>
        <v>2599.2600000000002</v>
      </c>
      <c r="W181" s="48">
        <f>ROUND((L181*J177+1.3*L181*N177+S181*G177),4)</f>
        <v>32.07</v>
      </c>
      <c r="X181" s="48">
        <f>ROUND((M181*0.9*J177+1.3*M181*0.9*N177+S181*G177),4)</f>
        <v>42.87</v>
      </c>
      <c r="Y181" s="48">
        <f>ROUND((M181*J177+1.3*M181*N177+S181*G177),4)</f>
        <v>47.46</v>
      </c>
      <c r="Z181" s="49">
        <f>ROUND((P177*T181*F177*O177/1000000),4)</f>
        <v>0.31190000000000001</v>
      </c>
      <c r="AA181" s="49">
        <f>ROUND((Q177*U181*F177*O177/1000000),4)</f>
        <v>0.2107</v>
      </c>
      <c r="AB181" s="49">
        <f>ROUND((R177*V181*F177*O177/1000000),4)</f>
        <v>7.8E-2</v>
      </c>
      <c r="AC181" s="50" t="s">
        <v>250</v>
      </c>
      <c r="AD181" s="51" t="s">
        <v>208</v>
      </c>
      <c r="AE181" s="44">
        <f>ROUND((((X181*E177)/1800)),4)</f>
        <v>2.3800000000000002E-2</v>
      </c>
      <c r="AF181" s="44">
        <f>ROUND(((Z181+AA181+AB181)),4)</f>
        <v>0.60060000000000002</v>
      </c>
    </row>
    <row r="182" spans="1:32" ht="12.95" customHeight="1" x14ac:dyDescent="0.25">
      <c r="A182" s="52"/>
      <c r="B182" s="62"/>
      <c r="C182" s="56"/>
      <c r="D182" s="56"/>
      <c r="E182" s="56"/>
      <c r="F182" s="66"/>
      <c r="G182" s="56"/>
      <c r="H182" s="56"/>
      <c r="I182" s="56"/>
      <c r="J182" s="56"/>
      <c r="K182" s="56"/>
      <c r="L182" s="59">
        <v>5.3</v>
      </c>
      <c r="M182" s="59">
        <v>6.47</v>
      </c>
      <c r="N182" s="56"/>
      <c r="O182" s="56"/>
      <c r="P182" s="56"/>
      <c r="Q182" s="56"/>
      <c r="R182" s="56"/>
      <c r="S182" s="61">
        <v>9.92</v>
      </c>
      <c r="T182" s="48">
        <f>ROUND((L182*I177+1.3*L182*K177+S182*H177),4)</f>
        <v>8650.14</v>
      </c>
      <c r="U182" s="48">
        <f>ROUND((M182*0.9*I177+1.3*M182*0.9*K177+S182*H177),4)</f>
        <v>9444.9953999999998</v>
      </c>
      <c r="V182" s="48">
        <f>ROUND((M182*I177+1.3*M182*K177+S182*H177),4)</f>
        <v>10428.306</v>
      </c>
      <c r="W182" s="48">
        <f>ROUND((L182*J177+1.3*L182*N177+S182*G177),4)</f>
        <v>202.62</v>
      </c>
      <c r="X182" s="48">
        <f>ROUND((M182*0.9*J177+1.3*M182*0.9*N177+S182*G177),4)</f>
        <v>216.74100000000001</v>
      </c>
      <c r="Y182" s="48">
        <f>ROUND((M182*J177+1.3*M182*N177+S182*G177),4)</f>
        <v>234.21</v>
      </c>
      <c r="Z182" s="49">
        <f>ROUND((P177*T182*F177*O177/1000000),4)</f>
        <v>1.5569999999999999</v>
      </c>
      <c r="AA182" s="49">
        <f>ROUND((Q177*U182*F177*O177/1000000),4)</f>
        <v>0.85</v>
      </c>
      <c r="AB182" s="49">
        <f>ROUND((R177*V182*F177*O177/1000000),4)</f>
        <v>0.31280000000000002</v>
      </c>
      <c r="AC182" s="50" t="s">
        <v>170</v>
      </c>
      <c r="AD182" s="51" t="s">
        <v>162</v>
      </c>
      <c r="AE182" s="44">
        <f>ROUND((((X182*E177)/1800)),4)</f>
        <v>0.12039999999999999</v>
      </c>
      <c r="AF182" s="44">
        <f>ROUND(((Z182+AA182+AB182)),4)</f>
        <v>2.7198000000000002</v>
      </c>
    </row>
    <row r="183" spans="1:32" ht="12.95" customHeight="1" x14ac:dyDescent="0.25">
      <c r="A183" s="52"/>
      <c r="B183" s="67" t="s">
        <v>220</v>
      </c>
      <c r="C183" s="46">
        <v>7</v>
      </c>
      <c r="D183" s="45" t="s">
        <v>217</v>
      </c>
      <c r="E183" s="45">
        <v>1</v>
      </c>
      <c r="F183" s="45">
        <v>6</v>
      </c>
      <c r="G183" s="45">
        <v>6</v>
      </c>
      <c r="H183" s="45">
        <v>60</v>
      </c>
      <c r="I183" s="45">
        <f>(8-1-0.75*2)*60*F183-K183-8*0.12*60</f>
        <v>635.4</v>
      </c>
      <c r="J183" s="45">
        <v>14</v>
      </c>
      <c r="K183" s="45">
        <f>(8-1-0.75*2)*0.65*60*F183</f>
        <v>1287</v>
      </c>
      <c r="L183" s="48">
        <v>10.16</v>
      </c>
      <c r="M183" s="48">
        <v>10.16</v>
      </c>
      <c r="N183" s="45">
        <v>10</v>
      </c>
      <c r="O183" s="45">
        <f>E183/F183</f>
        <v>0.16666666666666666</v>
      </c>
      <c r="P183" s="45">
        <v>180</v>
      </c>
      <c r="Q183" s="45">
        <v>90</v>
      </c>
      <c r="R183" s="47">
        <v>60</v>
      </c>
      <c r="S183" s="47">
        <v>1.99</v>
      </c>
      <c r="T183" s="48">
        <f>ROUND((L183*I183+1.3*L183*K183+S183*H183),4)</f>
        <v>23573.759999999998</v>
      </c>
      <c r="U183" s="48">
        <f>ROUND((M183*I183+1.3*M183*K183+S183*H183),4)</f>
        <v>23573.759999999998</v>
      </c>
      <c r="V183" s="48">
        <f>ROUND((M183*I183+1.3*M183*K183+S183*H183),4)</f>
        <v>23573.759999999998</v>
      </c>
      <c r="W183" s="48">
        <f>ROUND((L183*J183+1.3*L183*N183+S183*G183),4)</f>
        <v>286.26</v>
      </c>
      <c r="X183" s="48">
        <f>ROUND((M183*J183+1.3*M183*N183+S183*G183),4)</f>
        <v>286.26</v>
      </c>
      <c r="Y183" s="48">
        <f>ROUND((M183*J183+1.3*M183*N183+S183*G183),4)</f>
        <v>286.26</v>
      </c>
      <c r="Z183" s="49">
        <f>ROUND((P183*T183*F183*O183/1000000),4)</f>
        <v>4.2432999999999996</v>
      </c>
      <c r="AA183" s="49">
        <f>ROUND((Q183*U183*F183*O183/1000000),4)</f>
        <v>2.1215999999999999</v>
      </c>
      <c r="AB183" s="49">
        <f>ROUND((R183*V183*F183*O183/1000000),4)</f>
        <v>1.4144000000000001</v>
      </c>
      <c r="AC183" s="50" t="s">
        <v>200</v>
      </c>
      <c r="AD183" s="51" t="s">
        <v>153</v>
      </c>
      <c r="AE183" s="44">
        <f>ROUND((((X183*E183)/1800)*0.8),4)</f>
        <v>0.12720000000000001</v>
      </c>
      <c r="AF183" s="44">
        <f>ROUND(((Z183+AA183+AB183)*0.8),4)</f>
        <v>6.2233999999999998</v>
      </c>
    </row>
    <row r="184" spans="1:32" ht="12.95" customHeight="1" x14ac:dyDescent="0.25">
      <c r="A184" s="52"/>
      <c r="B184" s="53" t="s">
        <v>221</v>
      </c>
      <c r="C184" s="52"/>
      <c r="D184" s="52"/>
      <c r="E184" s="52"/>
      <c r="F184" s="63"/>
      <c r="G184" s="52"/>
      <c r="H184" s="52"/>
      <c r="I184" s="52"/>
      <c r="J184" s="52"/>
      <c r="K184" s="52"/>
      <c r="L184" s="56"/>
      <c r="M184" s="56"/>
      <c r="N184" s="52"/>
      <c r="O184" s="52"/>
      <c r="P184" s="52"/>
      <c r="Q184" s="52"/>
      <c r="R184" s="52"/>
      <c r="S184" s="57"/>
      <c r="T184" s="54"/>
      <c r="U184" s="54"/>
      <c r="V184" s="54"/>
      <c r="W184" s="54"/>
      <c r="X184" s="54"/>
      <c r="Y184" s="54"/>
      <c r="Z184" s="54"/>
      <c r="AA184" s="54"/>
      <c r="AB184" s="54"/>
      <c r="AC184" s="50" t="s">
        <v>201</v>
      </c>
      <c r="AD184" s="51" t="s">
        <v>202</v>
      </c>
      <c r="AE184" s="44">
        <f>ROUND((((X183*E183)/1800)*0.13),4)</f>
        <v>2.07E-2</v>
      </c>
      <c r="AF184" s="44">
        <f>ROUND(((Z183+AA183+AB183)*0.13),4)</f>
        <v>1.0113000000000001</v>
      </c>
    </row>
    <row r="185" spans="1:32" ht="12.95" customHeight="1" x14ac:dyDescent="0.25">
      <c r="A185" s="52"/>
      <c r="B185" s="88"/>
      <c r="C185" s="55"/>
      <c r="D185" s="55"/>
      <c r="E185" s="52"/>
      <c r="F185" s="63"/>
      <c r="G185" s="52"/>
      <c r="H185" s="52"/>
      <c r="I185" s="52"/>
      <c r="J185" s="52"/>
      <c r="K185" s="52"/>
      <c r="L185" s="59">
        <v>0.8</v>
      </c>
      <c r="M185" s="59">
        <v>0.98</v>
      </c>
      <c r="N185" s="52"/>
      <c r="O185" s="52"/>
      <c r="P185" s="52"/>
      <c r="Q185" s="52"/>
      <c r="R185" s="52"/>
      <c r="S185" s="60">
        <v>0.39</v>
      </c>
      <c r="T185" s="48">
        <f>ROUND((L185*I183+1.3*L185*K183+S185*H183),4)</f>
        <v>1870.2</v>
      </c>
      <c r="U185" s="48">
        <f>ROUND((M185*0.9*I183+1.3*M185*0.9*K183+S185*H183),4)</f>
        <v>2059.4969999999998</v>
      </c>
      <c r="V185" s="48">
        <f>ROUND((M185*I183+1.3*M185*K183+S185*H183),4)</f>
        <v>2285.73</v>
      </c>
      <c r="W185" s="48">
        <f>ROUND((L185*J183+1.3*L185*N183+S185*G183),4)</f>
        <v>23.94</v>
      </c>
      <c r="X185" s="48">
        <f>ROUND((M185*0.9*J183+1.3*M185*0.9*N183+S185*G183),4)</f>
        <v>26.154</v>
      </c>
      <c r="Y185" s="48">
        <f>ROUND((M185*J183+1.3*M185*N183+S185*G183),4)</f>
        <v>28.8</v>
      </c>
      <c r="Z185" s="49">
        <f>ROUND((P183*T185*F183*O183/1000000),4)</f>
        <v>0.33660000000000001</v>
      </c>
      <c r="AA185" s="49">
        <f>ROUND((Q183*U185*F183*O183/1000000),4)</f>
        <v>0.18540000000000001</v>
      </c>
      <c r="AB185" s="49">
        <f>ROUND((R183*V185*F183*O183/1000000),4)</f>
        <v>0.1371</v>
      </c>
      <c r="AC185" s="50" t="s">
        <v>203</v>
      </c>
      <c r="AD185" s="51" t="s">
        <v>204</v>
      </c>
      <c r="AE185" s="44">
        <f>ROUND((((X185*E183)/1800)),4)</f>
        <v>1.4500000000000001E-2</v>
      </c>
      <c r="AF185" s="44">
        <f>ROUND(((Z185+AA185+AB185)),5)</f>
        <v>0.65910000000000002</v>
      </c>
    </row>
    <row r="186" spans="1:32" ht="12.95" customHeight="1" x14ac:dyDescent="0.25">
      <c r="A186" s="52"/>
      <c r="B186" s="88"/>
      <c r="C186" s="52"/>
      <c r="D186" s="52"/>
      <c r="E186" s="52"/>
      <c r="F186" s="63"/>
      <c r="G186" s="52"/>
      <c r="H186" s="52"/>
      <c r="I186" s="52"/>
      <c r="J186" s="52"/>
      <c r="K186" s="52"/>
      <c r="L186" s="59">
        <v>1.79</v>
      </c>
      <c r="M186" s="59">
        <v>2.15</v>
      </c>
      <c r="N186" s="52"/>
      <c r="O186" s="52"/>
      <c r="P186" s="52"/>
      <c r="Q186" s="52"/>
      <c r="R186" s="52"/>
      <c r="S186" s="61">
        <v>1.24</v>
      </c>
      <c r="T186" s="48">
        <f>ROUND((L186*I183+1.3*L186*K183+S186*H183),4)</f>
        <v>4206.6149999999998</v>
      </c>
      <c r="U186" s="48">
        <f>ROUND((M186*0.9*I183+1.3*M186*0.9*K183+S186*H183),4)</f>
        <v>4541.3474999999999</v>
      </c>
      <c r="V186" s="48">
        <f>ROUND((M186*I183+1.3*M186*K183+S186*H183),4)</f>
        <v>5037.6750000000002</v>
      </c>
      <c r="W186" s="48">
        <f>ROUND((L186*J183+1.3*L186*N183+S186*G183),4)</f>
        <v>55.77</v>
      </c>
      <c r="X186" s="48">
        <f>ROUND((M186*0.9*J183+1.3*M186*0.9*N183+S186*G183),4)</f>
        <v>59.685000000000002</v>
      </c>
      <c r="Y186" s="48">
        <f>ROUND((M186*J183+1.3*N183+S186*G183),4)</f>
        <v>50.54</v>
      </c>
      <c r="Z186" s="49">
        <f>ROUND((P183*T186*F183*O183/1000000),4)</f>
        <v>0.75719999999999998</v>
      </c>
      <c r="AA186" s="49">
        <f>ROUND((Q183*U186*F183*O183/1000000),4)</f>
        <v>0.40870000000000001</v>
      </c>
      <c r="AB186" s="49">
        <f>ROUND((R183*V186*F183*O183/1000000),4)</f>
        <v>0.30230000000000001</v>
      </c>
      <c r="AC186" s="50" t="s">
        <v>205</v>
      </c>
      <c r="AD186" s="51" t="s">
        <v>206</v>
      </c>
      <c r="AE186" s="44">
        <f>ROUND((((X186*E183)/1800)),4)</f>
        <v>3.32E-2</v>
      </c>
      <c r="AF186" s="44">
        <f>ROUND(((Z186+AA186+AB186)),4)</f>
        <v>1.4681999999999999</v>
      </c>
    </row>
    <row r="187" spans="1:32" ht="12.95" customHeight="1" x14ac:dyDescent="0.25">
      <c r="A187" s="52"/>
      <c r="B187" s="53"/>
      <c r="C187" s="52"/>
      <c r="D187" s="52"/>
      <c r="E187" s="52"/>
      <c r="F187" s="63"/>
      <c r="G187" s="52"/>
      <c r="H187" s="52"/>
      <c r="I187" s="52"/>
      <c r="J187" s="52"/>
      <c r="K187" s="52"/>
      <c r="L187" s="59">
        <v>1.1299999999999999</v>
      </c>
      <c r="M187" s="59">
        <v>1.7</v>
      </c>
      <c r="N187" s="52"/>
      <c r="O187" s="52"/>
      <c r="P187" s="52"/>
      <c r="Q187" s="52"/>
      <c r="R187" s="52"/>
      <c r="S187" s="61">
        <v>0.26</v>
      </c>
      <c r="T187" s="48">
        <f>ROUND((L187*I183+1.3*L187*K183+S187*H183),4)</f>
        <v>2624.2049999999999</v>
      </c>
      <c r="U187" s="48">
        <f>ROUND((M187*0.9*I183+1.3*M187*0.9*K183+S187*H183),4)</f>
        <v>3547.605</v>
      </c>
      <c r="V187" s="48">
        <f>ROUND((M187*I183+1.3*M187*K183+S187*H183),4)</f>
        <v>3940.05</v>
      </c>
      <c r="W187" s="48">
        <f>ROUND((L187*J183+1.3*L187*N183+S187*G183),4)</f>
        <v>32.07</v>
      </c>
      <c r="X187" s="48">
        <f>ROUND((M187*0.9*J183+1.3*M187*0.9*N183+S187*G183),4)</f>
        <v>42.87</v>
      </c>
      <c r="Y187" s="48">
        <f>ROUND((M187*J183+1.3*M187*N183+S187*G183),4)</f>
        <v>47.46</v>
      </c>
      <c r="Z187" s="49">
        <f>ROUND((P183*T187*F183*O183/1000000),4)</f>
        <v>0.47239999999999999</v>
      </c>
      <c r="AA187" s="49">
        <f>ROUND((Q183*U187*F183*O183/1000000),4)</f>
        <v>0.31929999999999997</v>
      </c>
      <c r="AB187" s="49">
        <f>ROUND((R183*V187*F183*O183/1000000),4)</f>
        <v>0.2364</v>
      </c>
      <c r="AC187" s="50" t="s">
        <v>250</v>
      </c>
      <c r="AD187" s="51" t="s">
        <v>208</v>
      </c>
      <c r="AE187" s="44">
        <f>ROUND((((X187*E183)/1800)),4)</f>
        <v>2.3800000000000002E-2</v>
      </c>
      <c r="AF187" s="44">
        <f>ROUND(((Z187+AA187+AB187)),4)</f>
        <v>1.0281</v>
      </c>
    </row>
    <row r="188" spans="1:32" ht="12.95" customHeight="1" x14ac:dyDescent="0.25">
      <c r="A188" s="52"/>
      <c r="B188" s="62"/>
      <c r="C188" s="56"/>
      <c r="D188" s="56"/>
      <c r="E188" s="56"/>
      <c r="F188" s="66"/>
      <c r="G188" s="56"/>
      <c r="H188" s="56"/>
      <c r="I188" s="56"/>
      <c r="J188" s="56"/>
      <c r="K188" s="56"/>
      <c r="L188" s="59">
        <v>5.3</v>
      </c>
      <c r="M188" s="59">
        <v>6.47</v>
      </c>
      <c r="N188" s="56"/>
      <c r="O188" s="56"/>
      <c r="P188" s="56"/>
      <c r="Q188" s="56"/>
      <c r="R188" s="56"/>
      <c r="S188" s="61">
        <v>9.92</v>
      </c>
      <c r="T188" s="48">
        <f>ROUND((L188*I183+1.3*L188*K183+S188*H183),4)</f>
        <v>12830.25</v>
      </c>
      <c r="U188" s="48">
        <f>ROUND((M188*0.9*I183+1.3*M188*0.9*K183+S188*H183),4)</f>
        <v>14037.595499999999</v>
      </c>
      <c r="V188" s="48">
        <f>ROUND((M188*I183+1.3*M188*K183+S188*H183),4)</f>
        <v>15531.195</v>
      </c>
      <c r="W188" s="48">
        <f>ROUND((L188*J183+1.3*L188*N183+S188*G183),4)</f>
        <v>202.62</v>
      </c>
      <c r="X188" s="48">
        <f>ROUND((M188*0.9*J183+1.3*M188*0.9*N183+S188*G183),4)</f>
        <v>216.74100000000001</v>
      </c>
      <c r="Y188" s="48">
        <f>ROUND((M188*J183+1.3*M188*N183+S188*G183),4)</f>
        <v>234.21</v>
      </c>
      <c r="Z188" s="49">
        <f>ROUND((P183*T188*F183*O183/1000000),4)</f>
        <v>2.3094000000000001</v>
      </c>
      <c r="AA188" s="49">
        <f>ROUND((Q183*U188*F183*O183/1000000),4)</f>
        <v>1.2634000000000001</v>
      </c>
      <c r="AB188" s="49">
        <f>ROUND((R183*V188*F183*O183/1000000),4)</f>
        <v>0.93189999999999995</v>
      </c>
      <c r="AC188" s="50" t="s">
        <v>170</v>
      </c>
      <c r="AD188" s="51" t="s">
        <v>162</v>
      </c>
      <c r="AE188" s="44">
        <f>ROUND((((X188*E183)/1800)),4)</f>
        <v>0.12039999999999999</v>
      </c>
      <c r="AF188" s="44">
        <f>ROUND(((Z188+AA188+AB188)),4)</f>
        <v>4.5046999999999997</v>
      </c>
    </row>
    <row r="189" spans="1:32" ht="12.95" customHeight="1" x14ac:dyDescent="0.25">
      <c r="A189" s="52"/>
      <c r="B189" s="67" t="s">
        <v>220</v>
      </c>
      <c r="C189" s="46">
        <v>7</v>
      </c>
      <c r="D189" s="45" t="s">
        <v>217</v>
      </c>
      <c r="E189" s="45">
        <v>1</v>
      </c>
      <c r="F189" s="45">
        <v>4</v>
      </c>
      <c r="G189" s="45">
        <v>6</v>
      </c>
      <c r="H189" s="45">
        <v>60</v>
      </c>
      <c r="I189" s="45">
        <f>(8-1-0.75*2)*60*F189-K189-8*0.12*60</f>
        <v>404.4</v>
      </c>
      <c r="J189" s="45">
        <v>14</v>
      </c>
      <c r="K189" s="45">
        <f>(8-1-0.75*2)*0.65*60*F189</f>
        <v>858</v>
      </c>
      <c r="L189" s="48">
        <v>10.16</v>
      </c>
      <c r="M189" s="48">
        <v>10.16</v>
      </c>
      <c r="N189" s="45">
        <v>10</v>
      </c>
      <c r="O189" s="45">
        <f>E189/F189</f>
        <v>0.25</v>
      </c>
      <c r="P189" s="45">
        <v>180</v>
      </c>
      <c r="Q189" s="45">
        <v>60</v>
      </c>
      <c r="R189" s="47">
        <v>60</v>
      </c>
      <c r="S189" s="47">
        <v>1.99</v>
      </c>
      <c r="T189" s="48">
        <f>ROUND((L189*I189+1.3*L189*K189+S189*H189),4)</f>
        <v>15560.567999999999</v>
      </c>
      <c r="U189" s="48">
        <f>ROUND((M189*I189+1.3*M189*K189+S189*H189),4)</f>
        <v>15560.567999999999</v>
      </c>
      <c r="V189" s="48">
        <f>ROUND((M189*I189+1.3*M189*K189+S189*H189),4)</f>
        <v>15560.567999999999</v>
      </c>
      <c r="W189" s="48">
        <f>ROUND((L189*J189+1.3*L189*N189+S189*G189),4)</f>
        <v>286.26</v>
      </c>
      <c r="X189" s="48">
        <f>ROUND((M189*J189+1.3*M189*N189+S189*G189),4)</f>
        <v>286.26</v>
      </c>
      <c r="Y189" s="48">
        <f>ROUND((M189*J189+1.3*M189*N189+S189*G189),4)</f>
        <v>286.26</v>
      </c>
      <c r="Z189" s="49">
        <f>ROUND((P189*T189*F189*O189/1000000),4)</f>
        <v>2.8008999999999999</v>
      </c>
      <c r="AA189" s="49">
        <f>ROUND((Q189*U189*F189*O189/1000000),4)</f>
        <v>0.93359999999999999</v>
      </c>
      <c r="AB189" s="49">
        <f>ROUND((R189*V189*F189*O189/1000000),4)</f>
        <v>0.93359999999999999</v>
      </c>
      <c r="AC189" s="50" t="s">
        <v>200</v>
      </c>
      <c r="AD189" s="51" t="s">
        <v>153</v>
      </c>
      <c r="AE189" s="44">
        <f>ROUND((((X189*E189)/1800)*0.8),4)</f>
        <v>0.12720000000000001</v>
      </c>
      <c r="AF189" s="44">
        <f>ROUND(((Z189+AA189+AB189)*0.8),4)</f>
        <v>3.7345000000000002</v>
      </c>
    </row>
    <row r="190" spans="1:32" ht="12.95" customHeight="1" x14ac:dyDescent="0.25">
      <c r="A190" s="52"/>
      <c r="B190" s="53" t="s">
        <v>222</v>
      </c>
      <c r="C190" s="52"/>
      <c r="D190" s="52"/>
      <c r="E190" s="52"/>
      <c r="F190" s="63"/>
      <c r="G190" s="52"/>
      <c r="H190" s="52"/>
      <c r="I190" s="52"/>
      <c r="J190" s="52"/>
      <c r="K190" s="52"/>
      <c r="L190" s="56"/>
      <c r="M190" s="56"/>
      <c r="N190" s="52"/>
      <c r="O190" s="52"/>
      <c r="P190" s="52"/>
      <c r="Q190" s="52"/>
      <c r="R190" s="52"/>
      <c r="S190" s="57"/>
      <c r="T190" s="54"/>
      <c r="U190" s="54"/>
      <c r="V190" s="54"/>
      <c r="W190" s="54"/>
      <c r="X190" s="54"/>
      <c r="Y190" s="54"/>
      <c r="Z190" s="54"/>
      <c r="AA190" s="54"/>
      <c r="AB190" s="54"/>
      <c r="AC190" s="50" t="s">
        <v>201</v>
      </c>
      <c r="AD190" s="51" t="s">
        <v>202</v>
      </c>
      <c r="AE190" s="44">
        <f>ROUND((((X189*E189)/1800)*0.13),4)</f>
        <v>2.07E-2</v>
      </c>
      <c r="AF190" s="44">
        <f>ROUND(((Z189+AA189+AB189)*0.13),4)</f>
        <v>0.6069</v>
      </c>
    </row>
    <row r="191" spans="1:32" ht="12.95" customHeight="1" x14ac:dyDescent="0.25">
      <c r="A191" s="52"/>
      <c r="B191" s="88"/>
      <c r="C191" s="55"/>
      <c r="D191" s="55"/>
      <c r="E191" s="52"/>
      <c r="F191" s="63"/>
      <c r="G191" s="52"/>
      <c r="H191" s="52"/>
      <c r="I191" s="52"/>
      <c r="J191" s="52"/>
      <c r="K191" s="52"/>
      <c r="L191" s="59">
        <v>0.8</v>
      </c>
      <c r="M191" s="59">
        <v>0.98</v>
      </c>
      <c r="N191" s="52"/>
      <c r="O191" s="52"/>
      <c r="P191" s="52"/>
      <c r="Q191" s="52"/>
      <c r="R191" s="52"/>
      <c r="S191" s="60">
        <v>0.39</v>
      </c>
      <c r="T191" s="48">
        <f>ROUND((L191*I189+1.3*L191*K189+S191*H189),4)</f>
        <v>1239.24</v>
      </c>
      <c r="U191" s="48">
        <f>ROUND((M191*0.9*I189+1.3*M191*0.9*K189+S191*H189),4)</f>
        <v>1363.8635999999999</v>
      </c>
      <c r="V191" s="48">
        <f>ROUND((M191*I189+1.3*M191*K189+S191*H189),4)</f>
        <v>1512.8040000000001</v>
      </c>
      <c r="W191" s="48">
        <f>ROUND((L191*J189+1.3*L191*N189+S191*G189),4)</f>
        <v>23.94</v>
      </c>
      <c r="X191" s="48">
        <f>ROUND((M191*0.9*J189+1.3*M191*0.9*N189+S191*G189),4)</f>
        <v>26.154</v>
      </c>
      <c r="Y191" s="48">
        <f>ROUND((M191*J189+1.3*M191*N189+S191*G189),4)</f>
        <v>28.8</v>
      </c>
      <c r="Z191" s="49">
        <f>ROUND((P189*T191*F189*O189/1000000),4)</f>
        <v>0.22309999999999999</v>
      </c>
      <c r="AA191" s="49">
        <f>ROUND((Q189*U191*F189*O189/1000000),4)</f>
        <v>8.1799999999999998E-2</v>
      </c>
      <c r="AB191" s="49">
        <f>ROUND((R189*V191*F189*O189/1000000),4)</f>
        <v>9.0800000000000006E-2</v>
      </c>
      <c r="AC191" s="50" t="s">
        <v>203</v>
      </c>
      <c r="AD191" s="51" t="s">
        <v>204</v>
      </c>
      <c r="AE191" s="44">
        <f>ROUND((((X191*E189)/1800)),4)</f>
        <v>1.4500000000000001E-2</v>
      </c>
      <c r="AF191" s="44">
        <f>ROUND(((Z191+AA191+AB191)),5)</f>
        <v>0.3957</v>
      </c>
    </row>
    <row r="192" spans="1:32" ht="12.95" customHeight="1" x14ac:dyDescent="0.25">
      <c r="A192" s="52"/>
      <c r="B192" s="88"/>
      <c r="C192" s="52"/>
      <c r="D192" s="52"/>
      <c r="E192" s="52"/>
      <c r="F192" s="63"/>
      <c r="G192" s="52"/>
      <c r="H192" s="52"/>
      <c r="I192" s="52"/>
      <c r="J192" s="52"/>
      <c r="K192" s="52"/>
      <c r="L192" s="59">
        <v>1.79</v>
      </c>
      <c r="M192" s="59">
        <v>2.15</v>
      </c>
      <c r="N192" s="52"/>
      <c r="O192" s="52"/>
      <c r="P192" s="52"/>
      <c r="Q192" s="52"/>
      <c r="R192" s="52"/>
      <c r="S192" s="61">
        <v>1.24</v>
      </c>
      <c r="T192" s="48">
        <f>ROUND((L192*I189+1.3*L192*K189+S192*H189),4)</f>
        <v>2794.8420000000001</v>
      </c>
      <c r="U192" s="48">
        <f>ROUND((M192*0.9*I189+1.3*M192*0.9*K189+S192*H189),4)</f>
        <v>3015.2130000000002</v>
      </c>
      <c r="V192" s="48">
        <f>ROUND((M192*I189+1.3*M192*K189+S192*H189),4)</f>
        <v>3341.97</v>
      </c>
      <c r="W192" s="48">
        <f>ROUND((L192*J189+1.3*L192*N189+S192*G189),4)</f>
        <v>55.77</v>
      </c>
      <c r="X192" s="48">
        <f>ROUND((M192*0.9*J189+1.3*M192*0.9*N189+S192*G189),4)</f>
        <v>59.685000000000002</v>
      </c>
      <c r="Y192" s="48">
        <f>ROUND((M192*J189+1.3*N189+S192*G189),4)</f>
        <v>50.54</v>
      </c>
      <c r="Z192" s="49">
        <f>ROUND((P189*T192*F189*O189/1000000),4)</f>
        <v>0.50309999999999999</v>
      </c>
      <c r="AA192" s="49">
        <f>ROUND((Q189*U192*F189*O189/1000000),4)</f>
        <v>0.18090000000000001</v>
      </c>
      <c r="AB192" s="49">
        <f>ROUND((R189*V192*F189*O189/1000000),4)</f>
        <v>0.20050000000000001</v>
      </c>
      <c r="AC192" s="50" t="s">
        <v>205</v>
      </c>
      <c r="AD192" s="51" t="s">
        <v>206</v>
      </c>
      <c r="AE192" s="44">
        <f>ROUND((((X192*E189)/1800)),4)</f>
        <v>3.32E-2</v>
      </c>
      <c r="AF192" s="44">
        <f>ROUND(((Z192+AA192+AB192)),4)</f>
        <v>0.88449999999999995</v>
      </c>
    </row>
    <row r="193" spans="1:34" ht="12.95" customHeight="1" x14ac:dyDescent="0.25">
      <c r="A193" s="52"/>
      <c r="B193" s="53"/>
      <c r="C193" s="52"/>
      <c r="D193" s="52"/>
      <c r="E193" s="52"/>
      <c r="F193" s="63"/>
      <c r="G193" s="52"/>
      <c r="H193" s="52"/>
      <c r="I193" s="52"/>
      <c r="J193" s="52"/>
      <c r="K193" s="52"/>
      <c r="L193" s="59">
        <v>1.1299999999999999</v>
      </c>
      <c r="M193" s="59">
        <v>1.7</v>
      </c>
      <c r="N193" s="52"/>
      <c r="O193" s="52"/>
      <c r="P193" s="52"/>
      <c r="Q193" s="52"/>
      <c r="R193" s="52"/>
      <c r="S193" s="61">
        <v>0.26</v>
      </c>
      <c r="T193" s="48">
        <f>ROUND((L193*I189+1.3*L193*K189+S193*H189),4)</f>
        <v>1732.9739999999999</v>
      </c>
      <c r="U193" s="48">
        <f>ROUND((M193*0.9*I189+1.3*M193*0.9*K189+S193*H189),4)</f>
        <v>2340.8939999999998</v>
      </c>
      <c r="V193" s="48">
        <f>ROUND((M193*I189+1.3*M193*K189+S193*H189),4)</f>
        <v>2599.2600000000002</v>
      </c>
      <c r="W193" s="48">
        <f>ROUND((L193*J189+1.3*L193*N189+S193*G189),4)</f>
        <v>32.07</v>
      </c>
      <c r="X193" s="48">
        <f>ROUND((M193*0.9*J189+1.3*M193*0.9*N189+S193*G189),4)</f>
        <v>42.87</v>
      </c>
      <c r="Y193" s="48">
        <f>ROUND((M193*J189+1.3*M193*N189+S193*G189),4)</f>
        <v>47.46</v>
      </c>
      <c r="Z193" s="49">
        <f>ROUND((P189*T193*F189*O189/1000000),4)</f>
        <v>0.31190000000000001</v>
      </c>
      <c r="AA193" s="49">
        <f>ROUND((Q189*U193*F189*O189/1000000),4)</f>
        <v>0.14050000000000001</v>
      </c>
      <c r="AB193" s="49">
        <f>ROUND((R189*V193*F189*O189/1000000),4)</f>
        <v>0.156</v>
      </c>
      <c r="AC193" s="50" t="s">
        <v>250</v>
      </c>
      <c r="AD193" s="51" t="s">
        <v>208</v>
      </c>
      <c r="AE193" s="44">
        <f>ROUND((((X193*E189)/1800)),4)</f>
        <v>2.3800000000000002E-2</v>
      </c>
      <c r="AF193" s="44">
        <f>ROUND(((Z193+AA193+AB193)),4)</f>
        <v>0.60840000000000005</v>
      </c>
    </row>
    <row r="194" spans="1:34" ht="12.95" customHeight="1" x14ac:dyDescent="0.25">
      <c r="A194" s="52"/>
      <c r="B194" s="62"/>
      <c r="C194" s="56"/>
      <c r="D194" s="56"/>
      <c r="E194" s="56"/>
      <c r="F194" s="66"/>
      <c r="G194" s="56"/>
      <c r="H194" s="56"/>
      <c r="I194" s="56"/>
      <c r="J194" s="56"/>
      <c r="K194" s="56"/>
      <c r="L194" s="59">
        <v>5.3</v>
      </c>
      <c r="M194" s="59">
        <v>6.47</v>
      </c>
      <c r="N194" s="56"/>
      <c r="O194" s="56"/>
      <c r="P194" s="56"/>
      <c r="Q194" s="56"/>
      <c r="R194" s="56"/>
      <c r="S194" s="61">
        <v>9.92</v>
      </c>
      <c r="T194" s="48">
        <f>ROUND((L194*I189+1.3*L194*K189+S194*H189),4)</f>
        <v>8650.14</v>
      </c>
      <c r="U194" s="48">
        <f>ROUND((M194*0.9*I189+1.3*M194*0.9*K189+S194*H189),4)</f>
        <v>9444.9953999999998</v>
      </c>
      <c r="V194" s="48">
        <f>ROUND((M194*I189+1.3*M194*K189+S194*H189),4)</f>
        <v>10428.306</v>
      </c>
      <c r="W194" s="48">
        <f>ROUND((L194*J189+1.3*L194*N189+S194*G189),4)</f>
        <v>202.62</v>
      </c>
      <c r="X194" s="48">
        <f>ROUND((M194*0.9*J189+1.3*M194*0.9*N189+S194*G189),4)</f>
        <v>216.74100000000001</v>
      </c>
      <c r="Y194" s="48">
        <f>ROUND((M194*J189+1.3*M194*N189+S194*G189),4)</f>
        <v>234.21</v>
      </c>
      <c r="Z194" s="49">
        <f>ROUND((P189*T194*F189*O189/1000000),4)</f>
        <v>1.5569999999999999</v>
      </c>
      <c r="AA194" s="49">
        <f>ROUND((Q189*U194*F189*O189/1000000),4)</f>
        <v>0.56669999999999998</v>
      </c>
      <c r="AB194" s="49">
        <f>ROUND((R189*V194*F189*O189/1000000),4)</f>
        <v>0.62570000000000003</v>
      </c>
      <c r="AC194" s="50" t="s">
        <v>170</v>
      </c>
      <c r="AD194" s="51" t="s">
        <v>162</v>
      </c>
      <c r="AE194" s="44">
        <f>ROUND((((X194*E189)/1800)),4)</f>
        <v>0.12039999999999999</v>
      </c>
      <c r="AF194" s="44">
        <f>ROUND(((Z194+AA194+AB194)),4)</f>
        <v>2.7494000000000001</v>
      </c>
    </row>
    <row r="195" spans="1:34" ht="12.95" customHeight="1" x14ac:dyDescent="0.25">
      <c r="A195" s="52"/>
      <c r="B195" s="67" t="s">
        <v>223</v>
      </c>
      <c r="C195" s="46">
        <v>1</v>
      </c>
      <c r="D195" s="45" t="s">
        <v>225</v>
      </c>
      <c r="E195" s="45">
        <v>1</v>
      </c>
      <c r="F195" s="45">
        <v>4</v>
      </c>
      <c r="G195" s="45">
        <v>6</v>
      </c>
      <c r="H195" s="45">
        <v>60</v>
      </c>
      <c r="I195" s="45">
        <f>(8-1-0.75*2)*60*F195-K195-8*0.12*60</f>
        <v>404.4</v>
      </c>
      <c r="J195" s="45">
        <v>14</v>
      </c>
      <c r="K195" s="45">
        <f>(8-1-0.75*2)*0.65*60*F195</f>
        <v>858</v>
      </c>
      <c r="L195" s="48">
        <v>0.47</v>
      </c>
      <c r="M195" s="48">
        <v>0.47</v>
      </c>
      <c r="N195" s="45">
        <v>10</v>
      </c>
      <c r="O195" s="45">
        <f>E195/F195</f>
        <v>0.25</v>
      </c>
      <c r="P195" s="45">
        <v>150</v>
      </c>
      <c r="Q195" s="45">
        <v>30</v>
      </c>
      <c r="R195" s="47">
        <v>0</v>
      </c>
      <c r="S195" s="47">
        <v>0.09</v>
      </c>
      <c r="T195" s="48">
        <f>ROUND((L195*I195+1.3*L195*K195+S195*H195),4)</f>
        <v>719.70600000000002</v>
      </c>
      <c r="U195" s="48">
        <f>ROUND((M195*I195+1.3*M195*K195+S195*H195),4)</f>
        <v>719.70600000000002</v>
      </c>
      <c r="V195" s="48">
        <f>ROUND((M195*I195+1.3*M195*K195+S195*H195),4)</f>
        <v>719.70600000000002</v>
      </c>
      <c r="W195" s="48">
        <f>ROUND((L195*J195+1.3*L195*N195+S195*G195),4)</f>
        <v>13.23</v>
      </c>
      <c r="X195" s="48">
        <f>ROUND((M195*J195+1.3*M195*N195+S195*G195),4)</f>
        <v>13.23</v>
      </c>
      <c r="Y195" s="48">
        <f>ROUND((M195*J195+1.3*M195*N195+S195*G195),4)</f>
        <v>13.23</v>
      </c>
      <c r="Z195" s="49">
        <f>ROUND((P195*T195*F195*O195/1000000),4)</f>
        <v>0.108</v>
      </c>
      <c r="AA195" s="49">
        <f>ROUND((Q195*U195*F195*O195/1000000),4)</f>
        <v>2.1600000000000001E-2</v>
      </c>
      <c r="AB195" s="49">
        <f>ROUND((R195*V195*F195*O195/1000000),4)</f>
        <v>0</v>
      </c>
      <c r="AC195" s="50" t="s">
        <v>200</v>
      </c>
      <c r="AD195" s="51" t="s">
        <v>153</v>
      </c>
      <c r="AE195" s="44">
        <f>ROUND((((X195*E195)/1800)*0.8),4)</f>
        <v>5.8999999999999999E-3</v>
      </c>
      <c r="AF195" s="44">
        <f>ROUND(((Z195+AA195+AB195)*0.8),4)</f>
        <v>0.1037</v>
      </c>
      <c r="AG195" s="88"/>
      <c r="AH195" s="88"/>
    </row>
    <row r="196" spans="1:34" ht="12.95" customHeight="1" x14ac:dyDescent="0.25">
      <c r="A196" s="52"/>
      <c r="B196" s="53" t="s">
        <v>224</v>
      </c>
      <c r="C196" s="52"/>
      <c r="D196" s="52"/>
      <c r="E196" s="52"/>
      <c r="F196" s="63"/>
      <c r="G196" s="52"/>
      <c r="H196" s="52"/>
      <c r="I196" s="52"/>
      <c r="J196" s="52"/>
      <c r="K196" s="52"/>
      <c r="L196" s="56"/>
      <c r="M196" s="56"/>
      <c r="N196" s="52"/>
      <c r="O196" s="52"/>
      <c r="P196" s="52"/>
      <c r="Q196" s="52"/>
      <c r="R196" s="52"/>
      <c r="S196" s="57"/>
      <c r="T196" s="54"/>
      <c r="U196" s="54"/>
      <c r="V196" s="54"/>
      <c r="W196" s="54"/>
      <c r="X196" s="54"/>
      <c r="Y196" s="54"/>
      <c r="Z196" s="54"/>
      <c r="AA196" s="54"/>
      <c r="AB196" s="54"/>
      <c r="AC196" s="50" t="s">
        <v>201</v>
      </c>
      <c r="AD196" s="51" t="s">
        <v>202</v>
      </c>
      <c r="AE196" s="44">
        <f>ROUND((((X195*E195)/1800)*0.13),4)</f>
        <v>1E-3</v>
      </c>
      <c r="AF196" s="44">
        <f>ROUND(((Z195+AA195+AB195)*0.13),4)</f>
        <v>1.6799999999999999E-2</v>
      </c>
      <c r="AG196" s="88"/>
      <c r="AH196" s="88"/>
    </row>
    <row r="197" spans="1:34" ht="12.95" customHeight="1" x14ac:dyDescent="0.25">
      <c r="A197" s="52"/>
      <c r="B197" s="88"/>
      <c r="C197" s="55"/>
      <c r="D197" s="55"/>
      <c r="E197" s="52"/>
      <c r="F197" s="63"/>
      <c r="G197" s="52"/>
      <c r="H197" s="52"/>
      <c r="I197" s="52"/>
      <c r="J197" s="52"/>
      <c r="K197" s="52"/>
      <c r="L197" s="59">
        <v>0.8</v>
      </c>
      <c r="M197" s="59">
        <v>0.98</v>
      </c>
      <c r="N197" s="52"/>
      <c r="O197" s="52"/>
      <c r="P197" s="52"/>
      <c r="Q197" s="52"/>
      <c r="R197" s="52"/>
      <c r="S197" s="60">
        <v>1.7999999999999999E-2</v>
      </c>
      <c r="T197" s="48">
        <f>ROUND((L197*I195+1.3*L197*K195+S197*H195),4)</f>
        <v>1216.92</v>
      </c>
      <c r="U197" s="48">
        <f>ROUND((M197*0.9*I195+1.3*M197*0.9*K195+S197*H195),4)</f>
        <v>1341.5436</v>
      </c>
      <c r="V197" s="48">
        <f>ROUND((M197*I195+1.3*M197*K195+S197*H195),4)</f>
        <v>1490.4839999999999</v>
      </c>
      <c r="W197" s="48">
        <f>ROUND((L197*J195+1.3*L197*N195+S197*G195),4)</f>
        <v>21.707999999999998</v>
      </c>
      <c r="X197" s="48">
        <f>ROUND((M197*0.9*J195+1.3*M197*0.9*N195+S197*G195),4)</f>
        <v>23.922000000000001</v>
      </c>
      <c r="Y197" s="48">
        <f>ROUND((M197*J195+1.3*M197*N195+S197*G195),4)</f>
        <v>26.568000000000001</v>
      </c>
      <c r="Z197" s="49">
        <f>ROUND((P195*T197*F195*O195/1000000),4)</f>
        <v>0.1825</v>
      </c>
      <c r="AA197" s="49">
        <f>ROUND((Q195*U197*F195*O195/1000000),4)</f>
        <v>4.02E-2</v>
      </c>
      <c r="AB197" s="49">
        <f>ROUND((R195*V197*F195*O195/1000000),4)</f>
        <v>0</v>
      </c>
      <c r="AC197" s="50" t="s">
        <v>203</v>
      </c>
      <c r="AD197" s="51" t="s">
        <v>204</v>
      </c>
      <c r="AE197" s="44">
        <f>ROUND((((X197*E195)/1800)),4)</f>
        <v>1.3299999999999999E-2</v>
      </c>
      <c r="AF197" s="44">
        <f>ROUND(((Z197+AA197+AB197)),5)</f>
        <v>0.22270000000000001</v>
      </c>
      <c r="AG197" s="88"/>
      <c r="AH197" s="88"/>
    </row>
    <row r="198" spans="1:34" ht="12.95" customHeight="1" x14ac:dyDescent="0.25">
      <c r="A198" s="52"/>
      <c r="B198" s="88"/>
      <c r="C198" s="52"/>
      <c r="D198" s="52"/>
      <c r="E198" s="52"/>
      <c r="F198" s="63"/>
      <c r="G198" s="52"/>
      <c r="H198" s="52"/>
      <c r="I198" s="52"/>
      <c r="J198" s="52"/>
      <c r="K198" s="52"/>
      <c r="L198" s="59">
        <v>0.08</v>
      </c>
      <c r="M198" s="59">
        <v>0.1</v>
      </c>
      <c r="N198" s="52"/>
      <c r="O198" s="52"/>
      <c r="P198" s="52"/>
      <c r="Q198" s="52"/>
      <c r="R198" s="52"/>
      <c r="S198" s="61">
        <v>0.06</v>
      </c>
      <c r="T198" s="48">
        <f>ROUND((L198*I195+1.3*L198*K195+S198*H195),4)</f>
        <v>125.184</v>
      </c>
      <c r="U198" s="48">
        <f>ROUND((M198*0.9*I195+1.3*M198*0.9*K195+S198*H195),4)</f>
        <v>140.38200000000001</v>
      </c>
      <c r="V198" s="48">
        <f>ROUND((M198*I195+1.3*M198*K195+S198*H195),4)</f>
        <v>155.58000000000001</v>
      </c>
      <c r="W198" s="48">
        <f>ROUND((L198*J195+1.3*L198*N195+S198*G195),4)</f>
        <v>2.52</v>
      </c>
      <c r="X198" s="48">
        <f>ROUND((M198*0.9*J195+1.3*M198*0.9*N195+S198*G195),4)</f>
        <v>2.79</v>
      </c>
      <c r="Y198" s="48">
        <f>ROUND((M198*J195+1.3*N195+S198*G195),4)</f>
        <v>14.76</v>
      </c>
      <c r="Z198" s="49">
        <f>ROUND((P195*T198*F195*O195/1000000),4)</f>
        <v>1.8800000000000001E-2</v>
      </c>
      <c r="AA198" s="49">
        <f>ROUND((Q195*U198*F195*O195/1000000),4)</f>
        <v>4.1999999999999997E-3</v>
      </c>
      <c r="AB198" s="49">
        <f>ROUND((R195*V198*F195*O195/1000000),4)</f>
        <v>0</v>
      </c>
      <c r="AC198" s="50" t="s">
        <v>205</v>
      </c>
      <c r="AD198" s="51" t="s">
        <v>206</v>
      </c>
      <c r="AE198" s="44">
        <f>ROUND((((X198*E195)/1800)),4)</f>
        <v>1.6000000000000001E-3</v>
      </c>
      <c r="AF198" s="44">
        <f>ROUND(((Z198+AA198+AB198)),4)</f>
        <v>2.3E-2</v>
      </c>
      <c r="AG198" s="88"/>
      <c r="AH198" s="88"/>
    </row>
    <row r="199" spans="1:34" ht="12.95" customHeight="1" x14ac:dyDescent="0.25">
      <c r="A199" s="52"/>
      <c r="B199" s="53"/>
      <c r="C199" s="52"/>
      <c r="D199" s="52"/>
      <c r="E199" s="52"/>
      <c r="F199" s="63"/>
      <c r="G199" s="52"/>
      <c r="H199" s="52"/>
      <c r="I199" s="52"/>
      <c r="J199" s="52"/>
      <c r="K199" s="52"/>
      <c r="L199" s="59">
        <v>0.05</v>
      </c>
      <c r="M199" s="59">
        <v>7.0000000000000007E-2</v>
      </c>
      <c r="N199" s="52"/>
      <c r="O199" s="52"/>
      <c r="P199" s="52"/>
      <c r="Q199" s="52"/>
      <c r="R199" s="52"/>
      <c r="S199" s="61">
        <v>0.01</v>
      </c>
      <c r="T199" s="48">
        <f>ROUND((L199*I195+1.3*L199*K195+S199*H195),4)</f>
        <v>76.59</v>
      </c>
      <c r="U199" s="48">
        <f>ROUND((M199*0.9*I195+1.3*M199*0.9*K195+S199*H195),4)</f>
        <v>96.347399999999993</v>
      </c>
      <c r="V199" s="48">
        <f>ROUND((M199*I195+1.3*M199*K195+S199*H195),4)</f>
        <v>106.986</v>
      </c>
      <c r="W199" s="48">
        <f>ROUND((L199*J195+1.3*L199*N195+S199*G195),4)</f>
        <v>1.41</v>
      </c>
      <c r="X199" s="48">
        <f>ROUND((M199*0.9*J195+1.3*M199*0.9*N195+S199*G195),4)</f>
        <v>1.7609999999999999</v>
      </c>
      <c r="Y199" s="48">
        <f>ROUND((M199*J195+1.3*M199*N195+S199*G195),4)</f>
        <v>1.95</v>
      </c>
      <c r="Z199" s="49">
        <f>ROUND((P195*T199*F195*O195/1000000),4)</f>
        <v>1.15E-2</v>
      </c>
      <c r="AA199" s="49">
        <f>ROUND((Q195*U199*F195*O195/1000000),4)</f>
        <v>2.8999999999999998E-3</v>
      </c>
      <c r="AB199" s="49">
        <f>ROUND((R195*V199*F195*O195/1000000),4)</f>
        <v>0</v>
      </c>
      <c r="AC199" s="50" t="s">
        <v>250</v>
      </c>
      <c r="AD199" s="51" t="s">
        <v>208</v>
      </c>
      <c r="AE199" s="44">
        <f>ROUND((((X199*E195)/1800)),4)</f>
        <v>1E-3</v>
      </c>
      <c r="AF199" s="44">
        <f>ROUND(((Z199+AA199+AB199)),4)</f>
        <v>1.44E-2</v>
      </c>
      <c r="AG199" s="88"/>
      <c r="AH199" s="88"/>
    </row>
    <row r="200" spans="1:34" ht="12.95" customHeight="1" x14ac:dyDescent="0.25">
      <c r="A200" s="52"/>
      <c r="B200" s="62"/>
      <c r="C200" s="56"/>
      <c r="D200" s="56"/>
      <c r="E200" s="56"/>
      <c r="F200" s="66"/>
      <c r="G200" s="56"/>
      <c r="H200" s="56"/>
      <c r="I200" s="56"/>
      <c r="J200" s="56"/>
      <c r="K200" s="56"/>
      <c r="L200" s="59">
        <v>3.5999999999999997E-2</v>
      </c>
      <c r="M200" s="59">
        <v>4.3999999999999997E-2</v>
      </c>
      <c r="N200" s="56"/>
      <c r="O200" s="56"/>
      <c r="P200" s="56"/>
      <c r="Q200" s="56"/>
      <c r="R200" s="56"/>
      <c r="S200" s="61">
        <v>0.45</v>
      </c>
      <c r="T200" s="48">
        <f>ROUND((L200*I195+1.3*L200*K195+S200*H195),4)</f>
        <v>81.712800000000001</v>
      </c>
      <c r="U200" s="48">
        <f>ROUND((M200*0.9*I195+1.3*M200*0.9*K195+S200*H195),4)</f>
        <v>87.184100000000001</v>
      </c>
      <c r="V200" s="48">
        <f>ROUND((M200*I195+1.3*M200*K195+S200*H195),4)</f>
        <v>93.871200000000002</v>
      </c>
      <c r="W200" s="48">
        <f>ROUND((L200*J195+1.3*L200*N195+S200*G195),4)</f>
        <v>3.6720000000000002</v>
      </c>
      <c r="X200" s="48">
        <f>ROUND((M200*0.9*J195+1.3*M200*0.9*N195+S200*G195),4)</f>
        <v>3.7692000000000001</v>
      </c>
      <c r="Y200" s="48">
        <f>ROUND((M200*J195+1.3*M200*N195+S200*G195),4)</f>
        <v>3.8879999999999999</v>
      </c>
      <c r="Z200" s="49">
        <f>ROUND((P195*T200*F195*O195/1000000),4)</f>
        <v>1.23E-2</v>
      </c>
      <c r="AA200" s="49">
        <f>ROUND((Q195*U200*F195*O195/1000000),4)</f>
        <v>2.5999999999999999E-3</v>
      </c>
      <c r="AB200" s="49">
        <f>ROUND((R195*V200*F195*O195/1000000),4)</f>
        <v>0</v>
      </c>
      <c r="AC200" s="50" t="s">
        <v>170</v>
      </c>
      <c r="AD200" s="51" t="s">
        <v>162</v>
      </c>
      <c r="AE200" s="44">
        <f>ROUND((((X200*E195)/1800)),4)</f>
        <v>2.0999999999999999E-3</v>
      </c>
      <c r="AF200" s="44">
        <f>ROUND(((Z200+AA200+AB200)),4)</f>
        <v>1.49E-2</v>
      </c>
      <c r="AG200" s="88"/>
      <c r="AH200" s="88"/>
    </row>
    <row r="201" spans="1:34" ht="12.95" customHeight="1" x14ac:dyDescent="0.25">
      <c r="A201" s="52"/>
      <c r="B201" s="67" t="s">
        <v>226</v>
      </c>
      <c r="C201" s="46">
        <v>3</v>
      </c>
      <c r="D201" s="45" t="s">
        <v>228</v>
      </c>
      <c r="E201" s="45">
        <v>1</v>
      </c>
      <c r="F201" s="45">
        <v>1</v>
      </c>
      <c r="G201" s="45">
        <v>6</v>
      </c>
      <c r="H201" s="45">
        <v>60</v>
      </c>
      <c r="I201" s="45">
        <f>(8-1-0.75*2)*60*F201-K201-8*0.12*60</f>
        <v>57.900000000000006</v>
      </c>
      <c r="J201" s="45">
        <v>14</v>
      </c>
      <c r="K201" s="45">
        <f>(8-1-0.75*2)*0.65*60*F201</f>
        <v>214.5</v>
      </c>
      <c r="L201" s="48">
        <v>1.49</v>
      </c>
      <c r="M201" s="48">
        <v>1.49</v>
      </c>
      <c r="N201" s="45">
        <v>10</v>
      </c>
      <c r="O201" s="45">
        <f>E201/F201</f>
        <v>1</v>
      </c>
      <c r="P201" s="45">
        <v>90</v>
      </c>
      <c r="Q201" s="45">
        <v>0</v>
      </c>
      <c r="R201" s="47">
        <v>0</v>
      </c>
      <c r="S201" s="47">
        <v>0.28999999999999998</v>
      </c>
      <c r="T201" s="48">
        <f>ROUND((L201*I201+1.3*L201*K201+S201*H201),4)</f>
        <v>519.15750000000003</v>
      </c>
      <c r="U201" s="48">
        <f>ROUND((M201*I201+1.3*M201*K201+S201*H201),4)</f>
        <v>519.15750000000003</v>
      </c>
      <c r="V201" s="48">
        <f>ROUND((M201*I201+1.3*M201*K201+S201*H201),4)</f>
        <v>519.15750000000003</v>
      </c>
      <c r="W201" s="48">
        <f>ROUND((L201*J201+1.3*L201*N201+S201*G201),4)</f>
        <v>41.97</v>
      </c>
      <c r="X201" s="48">
        <f>ROUND((M201*J201+1.3*M201*N201+S201*G201),4)</f>
        <v>41.97</v>
      </c>
      <c r="Y201" s="48">
        <f>ROUND((M201*J201+1.3*M201*N201+S201*G201),4)</f>
        <v>41.97</v>
      </c>
      <c r="Z201" s="49">
        <f>ROUND((P201*T201*F201*O201/1000000),4)</f>
        <v>4.6699999999999998E-2</v>
      </c>
      <c r="AA201" s="49">
        <f>ROUND((Q201*U201*F201*O201/1000000),4)</f>
        <v>0</v>
      </c>
      <c r="AB201" s="49">
        <f>ROUND((R201*V201*F201*O201/1000000),4)</f>
        <v>0</v>
      </c>
      <c r="AC201" s="50" t="s">
        <v>200</v>
      </c>
      <c r="AD201" s="51" t="s">
        <v>153</v>
      </c>
      <c r="AE201" s="44">
        <f>ROUND((((X201*E201)/1800)*0.8),4)</f>
        <v>1.8700000000000001E-2</v>
      </c>
      <c r="AF201" s="44">
        <f>ROUND(((Z201+AA201+AB201)*0.8),4)</f>
        <v>3.7400000000000003E-2</v>
      </c>
      <c r="AG201" s="88"/>
      <c r="AH201" s="88"/>
    </row>
    <row r="202" spans="1:34" ht="12.95" customHeight="1" x14ac:dyDescent="0.25">
      <c r="A202" s="52"/>
      <c r="B202" s="53" t="s">
        <v>227</v>
      </c>
      <c r="C202" s="52"/>
      <c r="D202" s="52"/>
      <c r="E202" s="52"/>
      <c r="F202" s="63"/>
      <c r="G202" s="52"/>
      <c r="H202" s="52"/>
      <c r="I202" s="52"/>
      <c r="J202" s="52"/>
      <c r="K202" s="52"/>
      <c r="L202" s="56"/>
      <c r="M202" s="56"/>
      <c r="N202" s="52"/>
      <c r="O202" s="52"/>
      <c r="P202" s="52"/>
      <c r="Q202" s="52"/>
      <c r="R202" s="52"/>
      <c r="S202" s="57"/>
      <c r="T202" s="54"/>
      <c r="U202" s="54"/>
      <c r="V202" s="54"/>
      <c r="W202" s="54"/>
      <c r="X202" s="54"/>
      <c r="Y202" s="54"/>
      <c r="Z202" s="54"/>
      <c r="AA202" s="54"/>
      <c r="AB202" s="54"/>
      <c r="AC202" s="50" t="s">
        <v>201</v>
      </c>
      <c r="AD202" s="51" t="s">
        <v>202</v>
      </c>
      <c r="AE202" s="44">
        <f>ROUND((((X201*E201)/1800)*0.13),4)</f>
        <v>3.0000000000000001E-3</v>
      </c>
      <c r="AF202" s="44">
        <f>ROUND(((Z201+AA201+AB201)*0.13),4)</f>
        <v>6.1000000000000004E-3</v>
      </c>
      <c r="AG202" s="88"/>
      <c r="AH202" s="88"/>
    </row>
    <row r="203" spans="1:34" ht="12.95" customHeight="1" x14ac:dyDescent="0.25">
      <c r="A203" s="63"/>
      <c r="B203" s="87"/>
      <c r="C203" s="65"/>
      <c r="D203" s="55"/>
      <c r="E203" s="52"/>
      <c r="F203" s="63"/>
      <c r="G203" s="52"/>
      <c r="H203" s="52"/>
      <c r="I203" s="52"/>
      <c r="J203" s="52"/>
      <c r="K203" s="52"/>
      <c r="L203" s="59">
        <v>0.12</v>
      </c>
      <c r="M203" s="59">
        <v>0.15</v>
      </c>
      <c r="N203" s="52"/>
      <c r="O203" s="52"/>
      <c r="P203" s="52"/>
      <c r="Q203" s="52"/>
      <c r="R203" s="52"/>
      <c r="S203" s="60">
        <v>5.8000000000000003E-2</v>
      </c>
      <c r="T203" s="48">
        <f>ROUND((L203*I201+1.3*L203*K201+S203*H201),4)</f>
        <v>43.89</v>
      </c>
      <c r="U203" s="48">
        <f>ROUND((M203*0.9*I201+1.3*M203*0.9*K201+S203*H201),4)</f>
        <v>48.941299999999998</v>
      </c>
      <c r="V203" s="48">
        <f>ROUND((M203*I201+1.3*M203*K201+S203*H201),4)</f>
        <v>53.9925</v>
      </c>
      <c r="W203" s="48">
        <f>ROUND((L203*J201+1.3*L203*N201+S203*G201),4)</f>
        <v>3.5880000000000001</v>
      </c>
      <c r="X203" s="48">
        <f>ROUND((M203*0.9*J201+1.3*M203*0.9*N201+S203*G201),4)</f>
        <v>3.9929999999999999</v>
      </c>
      <c r="Y203" s="48">
        <f>ROUND((M203*J201+1.3*M203*N201+S203*G201),4)</f>
        <v>4.3979999999999997</v>
      </c>
      <c r="Z203" s="49">
        <f>ROUND((P201*T203*F201*O201/1000000),4)</f>
        <v>4.0000000000000001E-3</v>
      </c>
      <c r="AA203" s="49">
        <f>ROUND((Q201*U203*F201*O201/1000000),4)</f>
        <v>0</v>
      </c>
      <c r="AB203" s="49">
        <f>ROUND((R201*V203*F201*O201/1000000),4)</f>
        <v>0</v>
      </c>
      <c r="AC203" s="50" t="s">
        <v>203</v>
      </c>
      <c r="AD203" s="51" t="s">
        <v>204</v>
      </c>
      <c r="AE203" s="44">
        <f>ROUND((((X203*E201)/1800)),4)</f>
        <v>2.2000000000000001E-3</v>
      </c>
      <c r="AF203" s="44">
        <f>ROUND(((Z203+AA203+AB203)),5)</f>
        <v>4.0000000000000001E-3</v>
      </c>
      <c r="AG203" s="88"/>
      <c r="AH203" s="88"/>
    </row>
    <row r="204" spans="1:34" ht="12.95" customHeight="1" x14ac:dyDescent="0.25">
      <c r="A204" s="63"/>
      <c r="B204" s="87"/>
      <c r="C204" s="63"/>
      <c r="D204" s="52"/>
      <c r="E204" s="52"/>
      <c r="F204" s="63"/>
      <c r="G204" s="52"/>
      <c r="H204" s="52"/>
      <c r="I204" s="52"/>
      <c r="J204" s="52"/>
      <c r="K204" s="52"/>
      <c r="L204" s="59">
        <v>0.26</v>
      </c>
      <c r="M204" s="59">
        <v>0.31</v>
      </c>
      <c r="N204" s="52"/>
      <c r="O204" s="52"/>
      <c r="P204" s="52"/>
      <c r="Q204" s="52"/>
      <c r="R204" s="52"/>
      <c r="S204" s="61">
        <v>0.18</v>
      </c>
      <c r="T204" s="48">
        <f>ROUND((L204*I201+1.3*L204*K201+S204*H201),4)</f>
        <v>98.355000000000004</v>
      </c>
      <c r="U204" s="48">
        <f>ROUND((M204*0.9*I201+1.3*M204*0.9*K201+S204*H201),4)</f>
        <v>104.7533</v>
      </c>
      <c r="V204" s="48">
        <f>ROUND((M204*I201+1.3*M204*K201+S204*H201),4)</f>
        <v>115.1925</v>
      </c>
      <c r="W204" s="48">
        <f>ROUND((L204*J201+1.3*L204*N201+S204*G201),4)</f>
        <v>8.1</v>
      </c>
      <c r="X204" s="48">
        <f>ROUND((M204*0.9*J201+1.3*M204*0.9*N201+S204*G201),4)</f>
        <v>8.6129999999999995</v>
      </c>
      <c r="Y204" s="48">
        <f>ROUND((M204*J201+1.3*N201+S204*G201),4)</f>
        <v>18.420000000000002</v>
      </c>
      <c r="Z204" s="49">
        <f>ROUND((P201*T204*F201*O201/1000000),4)</f>
        <v>8.8999999999999999E-3</v>
      </c>
      <c r="AA204" s="49">
        <f>ROUND((Q201*U204*F201*O201/1000000),4)</f>
        <v>0</v>
      </c>
      <c r="AB204" s="49">
        <f>ROUND((R201*V204*F201*O201/1000000),4)</f>
        <v>0</v>
      </c>
      <c r="AC204" s="50" t="s">
        <v>205</v>
      </c>
      <c r="AD204" s="51" t="s">
        <v>206</v>
      </c>
      <c r="AE204" s="44">
        <f>ROUND((((X204*E201)/1800)),4)</f>
        <v>4.7999999999999996E-3</v>
      </c>
      <c r="AF204" s="44">
        <f>ROUND(((Z204+AA204+AB204)),4)</f>
        <v>8.8999999999999999E-3</v>
      </c>
      <c r="AG204" s="88"/>
      <c r="AH204" s="88"/>
    </row>
    <row r="205" spans="1:34" ht="12.95" customHeight="1" x14ac:dyDescent="0.25">
      <c r="A205" s="63"/>
      <c r="B205" s="64"/>
      <c r="C205" s="63"/>
      <c r="D205" s="52"/>
      <c r="E205" s="52"/>
      <c r="F205" s="63"/>
      <c r="G205" s="52"/>
      <c r="H205" s="52"/>
      <c r="I205" s="52"/>
      <c r="J205" s="52"/>
      <c r="K205" s="52"/>
      <c r="L205" s="59">
        <v>0.17</v>
      </c>
      <c r="M205" s="59">
        <v>0.25</v>
      </c>
      <c r="N205" s="52"/>
      <c r="O205" s="52"/>
      <c r="P205" s="52"/>
      <c r="Q205" s="52"/>
      <c r="R205" s="52"/>
      <c r="S205" s="61">
        <v>0.04</v>
      </c>
      <c r="T205" s="48">
        <f>ROUND((L205*I201+1.3*L205*K201+S205*H201),4)</f>
        <v>59.647500000000001</v>
      </c>
      <c r="U205" s="48">
        <f>ROUND((M205*0.9*I201+1.3*M205*0.9*K201+S205*H201),4)</f>
        <v>78.168800000000005</v>
      </c>
      <c r="V205" s="48">
        <f>ROUND((M205*I201+1.3*M205*K201+S205*H201),4)</f>
        <v>86.587500000000006</v>
      </c>
      <c r="W205" s="48">
        <f>ROUND((L205*J201+1.3*L205*N201+S205*G201),4)</f>
        <v>4.83</v>
      </c>
      <c r="X205" s="48">
        <f>ROUND((M205*0.9*J201+1.3*M205*0.9*N201+S205*G201),4)</f>
        <v>6.3150000000000004</v>
      </c>
      <c r="Y205" s="48">
        <f>ROUND((M205*J201+1.3*M205*N201+S205*G201),4)</f>
        <v>6.99</v>
      </c>
      <c r="Z205" s="49">
        <f>ROUND((P201*T205*F201*O201/1000000),4)</f>
        <v>5.4000000000000003E-3</v>
      </c>
      <c r="AA205" s="49">
        <f>ROUND((Q201*U205*F201*O201/1000000),4)</f>
        <v>0</v>
      </c>
      <c r="AB205" s="49">
        <f>ROUND((R201*V205*F201*O201/1000000),4)</f>
        <v>0</v>
      </c>
      <c r="AC205" s="50" t="s">
        <v>250</v>
      </c>
      <c r="AD205" s="51" t="s">
        <v>208</v>
      </c>
      <c r="AE205" s="44">
        <f>ROUND((((X205*E201)/1800)),4)</f>
        <v>3.5000000000000001E-3</v>
      </c>
      <c r="AF205" s="44">
        <f>ROUND(((Z205+AA205+AB205)),4)</f>
        <v>5.4000000000000003E-3</v>
      </c>
      <c r="AG205" s="88"/>
      <c r="AH205" s="88"/>
    </row>
    <row r="206" spans="1:34" ht="12.95" customHeight="1" x14ac:dyDescent="0.25">
      <c r="A206" s="63"/>
      <c r="B206" s="72"/>
      <c r="C206" s="66"/>
      <c r="D206" s="56"/>
      <c r="E206" s="56"/>
      <c r="F206" s="66"/>
      <c r="G206" s="56"/>
      <c r="H206" s="56"/>
      <c r="I206" s="56"/>
      <c r="J206" s="56"/>
      <c r="K206" s="56"/>
      <c r="L206" s="59">
        <v>0.77</v>
      </c>
      <c r="M206" s="59">
        <v>0.94</v>
      </c>
      <c r="N206" s="56"/>
      <c r="O206" s="56"/>
      <c r="P206" s="56"/>
      <c r="Q206" s="56"/>
      <c r="R206" s="56"/>
      <c r="S206" s="61">
        <v>1.44</v>
      </c>
      <c r="T206" s="48">
        <f>ROUND((L206*I201+1.3*L206*K201+S206*H201),4)</f>
        <v>345.69749999999999</v>
      </c>
      <c r="U206" s="48">
        <f>ROUND((M206*0.9*I201+1.3*M206*0.9*K201+S206*H201),4)</f>
        <v>371.29050000000001</v>
      </c>
      <c r="V206" s="48">
        <f>ROUND((M206*I201+1.3*M206*K201+S206*H201),4)</f>
        <v>402.94499999999999</v>
      </c>
      <c r="W206" s="48">
        <f>ROUND((L206*J201+1.3*L206*N201+S206*G201),4)</f>
        <v>29.43</v>
      </c>
      <c r="X206" s="48">
        <f>ROUND((M206*0.9*J201+1.3*M206*0.9*N201+S206*G201),4)</f>
        <v>31.481999999999999</v>
      </c>
      <c r="Y206" s="48">
        <f>ROUND((M206*J201+1.3*M206*N201+S206*G201),4)</f>
        <v>34.020000000000003</v>
      </c>
      <c r="Z206" s="49">
        <f>ROUND((P201*T206*F201*O201/1000000),4)</f>
        <v>3.1099999999999999E-2</v>
      </c>
      <c r="AA206" s="49">
        <f>ROUND((Q201*U206*F201*O201/1000000),4)</f>
        <v>0</v>
      </c>
      <c r="AB206" s="49">
        <f>ROUND((R201*V206*F201*O201/1000000),4)</f>
        <v>0</v>
      </c>
      <c r="AC206" s="50" t="s">
        <v>170</v>
      </c>
      <c r="AD206" s="51" t="s">
        <v>162</v>
      </c>
      <c r="AE206" s="44">
        <f>ROUND((((X206*E201)/1800)),4)</f>
        <v>1.7500000000000002E-2</v>
      </c>
      <c r="AF206" s="44">
        <f>ROUND(((Z206+AA206+AB206)),4)</f>
        <v>3.1099999999999999E-2</v>
      </c>
      <c r="AG206" s="88"/>
      <c r="AH206" s="88"/>
    </row>
    <row r="207" spans="1:34" ht="12.95" customHeight="1" x14ac:dyDescent="0.25">
      <c r="A207" s="52"/>
      <c r="B207" s="46" t="s">
        <v>229</v>
      </c>
      <c r="C207" s="45">
        <v>4</v>
      </c>
      <c r="D207" s="45" t="s">
        <v>199</v>
      </c>
      <c r="E207" s="45">
        <v>1</v>
      </c>
      <c r="F207" s="45">
        <v>1</v>
      </c>
      <c r="G207" s="45">
        <v>6</v>
      </c>
      <c r="H207" s="45">
        <v>60</v>
      </c>
      <c r="I207" s="45">
        <f>(8-1-0.75*2)*60*F207-K207-8*0.12*60</f>
        <v>57.900000000000006</v>
      </c>
      <c r="J207" s="45">
        <v>14</v>
      </c>
      <c r="K207" s="45">
        <f>(8-1-0.75*2)*0.65*60*F207</f>
        <v>214.5</v>
      </c>
      <c r="L207" s="45">
        <v>2.4700000000000002</v>
      </c>
      <c r="M207" s="45">
        <v>2.4700000000000002</v>
      </c>
      <c r="N207" s="45">
        <v>10</v>
      </c>
      <c r="O207" s="45">
        <f>E207/F207</f>
        <v>1</v>
      </c>
      <c r="P207" s="45">
        <v>30</v>
      </c>
      <c r="Q207" s="45">
        <v>0</v>
      </c>
      <c r="R207" s="47">
        <v>0</v>
      </c>
      <c r="S207" s="45">
        <v>0.48</v>
      </c>
      <c r="T207" s="48">
        <f>ROUND((L207*I207+1.3*L207*K207+S207*H207),4)</f>
        <v>860.57249999999999</v>
      </c>
      <c r="U207" s="48">
        <f>ROUND((M207*I207+1.3*M207*K207+S207*H207),4)</f>
        <v>860.57249999999999</v>
      </c>
      <c r="V207" s="48">
        <f>ROUND((M207*I207+1.3*M207*K207+S207*H207),4)</f>
        <v>860.57249999999999</v>
      </c>
      <c r="W207" s="48">
        <f>ROUND((L207*J207+1.3*L207*N207+S207*G207),4)</f>
        <v>69.569999999999993</v>
      </c>
      <c r="X207" s="48">
        <f>ROUND((M207*J207+1.3*M207*N207+S207*G207),4)</f>
        <v>69.569999999999993</v>
      </c>
      <c r="Y207" s="48">
        <f>ROUND((M207*J207+1.3*M207*N207+S207*G207),4)</f>
        <v>69.569999999999993</v>
      </c>
      <c r="Z207" s="49">
        <f>ROUND((P207*T207*F207*O207/1000000),4)</f>
        <v>2.58E-2</v>
      </c>
      <c r="AA207" s="49">
        <f>ROUND((Q207*U207*F207*O207/1000000),4)</f>
        <v>0</v>
      </c>
      <c r="AB207" s="49">
        <f>ROUND((R207*V207*F207*O207/1000000),4)</f>
        <v>0</v>
      </c>
      <c r="AC207" s="50" t="s">
        <v>200</v>
      </c>
      <c r="AD207" s="51" t="s">
        <v>153</v>
      </c>
      <c r="AE207" s="44">
        <f>ROUND((((X207*E207)/1800)*0.8),4)</f>
        <v>3.09E-2</v>
      </c>
      <c r="AF207" s="44">
        <f>ROUND(((Z207+AA207+AB207)*0.8),4)</f>
        <v>2.06E-2</v>
      </c>
    </row>
    <row r="208" spans="1:34" ht="12.95" customHeight="1" x14ac:dyDescent="0.25">
      <c r="A208" s="52"/>
      <c r="B208" s="53" t="s">
        <v>230</v>
      </c>
      <c r="C208" s="52"/>
      <c r="D208" s="52"/>
      <c r="E208" s="52"/>
      <c r="F208" s="63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68"/>
      <c r="T208" s="54"/>
      <c r="U208" s="54"/>
      <c r="V208" s="54"/>
      <c r="W208" s="54"/>
      <c r="X208" s="54"/>
      <c r="Y208" s="54"/>
      <c r="Z208" s="54"/>
      <c r="AA208" s="54"/>
      <c r="AB208" s="54"/>
      <c r="AC208" s="50" t="s">
        <v>201</v>
      </c>
      <c r="AD208" s="51" t="s">
        <v>202</v>
      </c>
      <c r="AE208" s="44">
        <f>ROUND((((X207*E207)/1800)*0.13),4)</f>
        <v>5.0000000000000001E-3</v>
      </c>
      <c r="AF208" s="44">
        <f>ROUND(((Z207+AA207+AB207)*0.13),4)</f>
        <v>3.3999999999999998E-3</v>
      </c>
    </row>
    <row r="209" spans="1:32" ht="12.95" customHeight="1" x14ac:dyDescent="0.25">
      <c r="A209" s="52"/>
      <c r="B209" s="53"/>
      <c r="C209" s="55"/>
      <c r="D209" s="55"/>
      <c r="E209" s="52"/>
      <c r="F209" s="63"/>
      <c r="G209" s="52"/>
      <c r="H209" s="52"/>
      <c r="I209" s="52"/>
      <c r="J209" s="52"/>
      <c r="K209" s="52"/>
      <c r="L209" s="52">
        <v>0.19</v>
      </c>
      <c r="M209" s="52">
        <v>0.23</v>
      </c>
      <c r="N209" s="52"/>
      <c r="O209" s="52"/>
      <c r="P209" s="52"/>
      <c r="Q209" s="52"/>
      <c r="R209" s="52"/>
      <c r="S209" s="69">
        <v>9.7000000000000003E-2</v>
      </c>
      <c r="T209" s="48">
        <f>ROUND((L209*I207+1.3*L209*K207+S209*H207),4)</f>
        <v>69.802499999999995</v>
      </c>
      <c r="U209" s="48">
        <f>ROUND((M209*0.9*I207+1.3*M209*0.9*K207+S209*H207),4)</f>
        <v>75.527299999999997</v>
      </c>
      <c r="V209" s="48">
        <f>ROUND((M209*I207+1.3*M209*K207+S209*H207),4)</f>
        <v>83.272499999999994</v>
      </c>
      <c r="W209" s="48">
        <f>ROUND((L209*J207+1.3*L209*N207+S209*G207),4)</f>
        <v>5.7119999999999997</v>
      </c>
      <c r="X209" s="48">
        <f>ROUND((M209*0.9*J207+1.3*M209*0.9*N207+S209*G207),4)</f>
        <v>6.1710000000000003</v>
      </c>
      <c r="Y209" s="48">
        <f>ROUND((M209*J207+1.3*M209*N207+S209*G207),4)</f>
        <v>6.7919999999999998</v>
      </c>
      <c r="Z209" s="49">
        <f>ROUND((P207*T209*F207*O207/1000000),4)</f>
        <v>2.0999999999999999E-3</v>
      </c>
      <c r="AA209" s="49">
        <f>ROUND((Q207*U209*F207*O207/1000000),4)</f>
        <v>0</v>
      </c>
      <c r="AB209" s="49">
        <f>ROUND((R207*V209*F207*O207/1000000),4)</f>
        <v>0</v>
      </c>
      <c r="AC209" s="50" t="s">
        <v>203</v>
      </c>
      <c r="AD209" s="51" t="s">
        <v>204</v>
      </c>
      <c r="AE209" s="44">
        <f>ROUND((((X209*E207)/1800)),4)</f>
        <v>3.3999999999999998E-3</v>
      </c>
      <c r="AF209" s="44">
        <f>ROUND(((Z209+AA209+AB209)),5)</f>
        <v>2.0999999999999999E-3</v>
      </c>
    </row>
    <row r="210" spans="1:32" ht="12.95" customHeight="1" x14ac:dyDescent="0.25">
      <c r="A210" s="52"/>
      <c r="B210" s="98"/>
      <c r="C210" s="52"/>
      <c r="D210" s="52"/>
      <c r="E210" s="52"/>
      <c r="F210" s="63"/>
      <c r="G210" s="52"/>
      <c r="H210" s="52"/>
      <c r="I210" s="52"/>
      <c r="J210" s="52"/>
      <c r="K210" s="52"/>
      <c r="L210" s="52">
        <v>0.43</v>
      </c>
      <c r="M210" s="52">
        <v>0.51</v>
      </c>
      <c r="N210" s="52"/>
      <c r="O210" s="52"/>
      <c r="P210" s="52"/>
      <c r="Q210" s="52"/>
      <c r="R210" s="52"/>
      <c r="S210" s="69">
        <v>0.3</v>
      </c>
      <c r="T210" s="48">
        <f>ROUND((L210*I207+1.3*L210*K207+S210*H207),4)</f>
        <v>162.80250000000001</v>
      </c>
      <c r="U210" s="48">
        <f>ROUND((M210*0.9*I207+1.3*M210*0.9*K207+S210*H207),4)</f>
        <v>172.56829999999999</v>
      </c>
      <c r="V210" s="48">
        <f>ROUND((M210*I207+1.3*M210*K207+S210*H207),4)</f>
        <v>189.74250000000001</v>
      </c>
      <c r="W210" s="48">
        <f>ROUND((L210*J207+1.3*L210*N207+S210*G207),4)</f>
        <v>13.41</v>
      </c>
      <c r="X210" s="48">
        <f>ROUND((M210*0.9*J207+1.3*M210*0.9*N207+S210*G207),4)</f>
        <v>14.193</v>
      </c>
      <c r="Y210" s="48">
        <f>ROUND((M210*J207+1.3*N207+S210*G207),4)</f>
        <v>21.94</v>
      </c>
      <c r="Z210" s="49">
        <f>ROUND((P207*T210*F207*O207/1000000),4)</f>
        <v>4.8999999999999998E-3</v>
      </c>
      <c r="AA210" s="49">
        <f>ROUND((Q207*U210*F207*O207/1000000),4)</f>
        <v>0</v>
      </c>
      <c r="AB210" s="49">
        <f>ROUND((R207*V210*F207*O207/1000000),4)</f>
        <v>0</v>
      </c>
      <c r="AC210" s="50" t="s">
        <v>205</v>
      </c>
      <c r="AD210" s="51" t="s">
        <v>206</v>
      </c>
      <c r="AE210" s="44">
        <f>ROUND((((X210*E207)/1800)),4)</f>
        <v>7.9000000000000008E-3</v>
      </c>
      <c r="AF210" s="44">
        <f>ROUND(((Z210+AA210+AB210)),4)</f>
        <v>4.8999999999999998E-3</v>
      </c>
    </row>
    <row r="211" spans="1:32" ht="12.95" customHeight="1" x14ac:dyDescent="0.25">
      <c r="A211" s="52"/>
      <c r="B211" s="53"/>
      <c r="C211" s="52"/>
      <c r="D211" s="52"/>
      <c r="E211" s="52"/>
      <c r="F211" s="63"/>
      <c r="G211" s="52"/>
      <c r="H211" s="52"/>
      <c r="I211" s="52"/>
      <c r="J211" s="52"/>
      <c r="K211" s="52"/>
      <c r="L211" s="52">
        <v>0.27</v>
      </c>
      <c r="M211" s="52">
        <v>0.41</v>
      </c>
      <c r="N211" s="52"/>
      <c r="O211" s="52"/>
      <c r="P211" s="52"/>
      <c r="Q211" s="52"/>
      <c r="R211" s="52"/>
      <c r="S211" s="69">
        <v>0.06</v>
      </c>
      <c r="T211" s="48">
        <f>ROUND((L211*I207+1.3*L211*K207+S211*H207),4)</f>
        <v>94.522499999999994</v>
      </c>
      <c r="U211" s="48">
        <f>ROUND((M211*0.9*I207+1.3*M211*0.9*K207+S211*H207),4)</f>
        <v>127.8608</v>
      </c>
      <c r="V211" s="48">
        <f>ROUND((M211*I207+1.3*M211*K207+S211*H207),4)</f>
        <v>141.66749999999999</v>
      </c>
      <c r="W211" s="48">
        <f>ROUND((L211*J207+1.3*L211*N207+S211*G207),4)</f>
        <v>7.65</v>
      </c>
      <c r="X211" s="48">
        <f>ROUND((M211*0.9*J207+1.3*M211*0.9*N207+S211*G207),4)</f>
        <v>10.323</v>
      </c>
      <c r="Y211" s="48">
        <f>ROUND((M211*J207+1.3*M211*N207+S211*G207),4)</f>
        <v>11.43</v>
      </c>
      <c r="Z211" s="49">
        <f>ROUND((P207*T211*F207*O207/1000000),4)</f>
        <v>2.8E-3</v>
      </c>
      <c r="AA211" s="49">
        <f>ROUND((Q207*U211*F207*O207/1000000),4)</f>
        <v>0</v>
      </c>
      <c r="AB211" s="49">
        <f>ROUND((R207*V211*F207*O207/1000000),4)</f>
        <v>0</v>
      </c>
      <c r="AC211" s="50" t="s">
        <v>250</v>
      </c>
      <c r="AD211" s="51" t="s">
        <v>208</v>
      </c>
      <c r="AE211" s="44">
        <f>ROUND((((X211*E207)/1800)),4)</f>
        <v>5.7000000000000002E-3</v>
      </c>
      <c r="AF211" s="44">
        <f>ROUND(((Z211+AA211+AB211)),4)</f>
        <v>2.8E-3</v>
      </c>
    </row>
    <row r="212" spans="1:32" ht="12.95" customHeight="1" x14ac:dyDescent="0.25">
      <c r="A212" s="52"/>
      <c r="B212" s="53"/>
      <c r="C212" s="56"/>
      <c r="D212" s="56"/>
      <c r="E212" s="56"/>
      <c r="F212" s="66"/>
      <c r="G212" s="56"/>
      <c r="H212" s="56"/>
      <c r="I212" s="56"/>
      <c r="J212" s="56"/>
      <c r="K212" s="56"/>
      <c r="L212" s="56">
        <v>1.29</v>
      </c>
      <c r="M212" s="56">
        <v>1.57</v>
      </c>
      <c r="N212" s="56"/>
      <c r="O212" s="56"/>
      <c r="P212" s="56"/>
      <c r="Q212" s="56"/>
      <c r="R212" s="56"/>
      <c r="S212" s="69">
        <v>2.4</v>
      </c>
      <c r="T212" s="70">
        <f>ROUND((L212*I207+1.3*L212*K207+S212*H207),4)</f>
        <v>578.40750000000003</v>
      </c>
      <c r="U212" s="70">
        <f>ROUND((M212*0.9*I207+1.3*M212*0.9*K207+S212*H207),4)</f>
        <v>619.82780000000002</v>
      </c>
      <c r="V212" s="70">
        <f>ROUND((M212*I207+1.3*M212*K207+S212*H207),4)</f>
        <v>672.69749999999999</v>
      </c>
      <c r="W212" s="70">
        <f>ROUND((L212*J207+1.3*L212*N207+S212*G207),4)</f>
        <v>49.23</v>
      </c>
      <c r="X212" s="70">
        <f>ROUND((M212*0.9*J207+1.3*M212*0.9*N207+S212*G207),4)</f>
        <v>52.551000000000002</v>
      </c>
      <c r="Y212" s="70">
        <f>ROUND((M212*J207+1.3*M212*N207+S212*G207),4)</f>
        <v>56.79</v>
      </c>
      <c r="Z212" s="71">
        <f>ROUND((P207*T212*F207*O207/1000000),4)</f>
        <v>1.7399999999999999E-2</v>
      </c>
      <c r="AA212" s="71">
        <f>ROUND((Q207*U212*F207*O207/1000000),4)</f>
        <v>0</v>
      </c>
      <c r="AB212" s="71">
        <f>ROUND((R207*V212*F207*O207/1000000),4)</f>
        <v>0</v>
      </c>
      <c r="AC212" s="50" t="s">
        <v>170</v>
      </c>
      <c r="AD212" s="51" t="s">
        <v>162</v>
      </c>
      <c r="AE212" s="44">
        <f>ROUND((((X212*E207)/1800)),4)</f>
        <v>2.92E-2</v>
      </c>
      <c r="AF212" s="44">
        <f>ROUND(((Z212+AA212+AB212)),4)</f>
        <v>1.7399999999999999E-2</v>
      </c>
    </row>
    <row r="213" spans="1:32" ht="12.95" customHeight="1" x14ac:dyDescent="0.25">
      <c r="A213" s="89"/>
      <c r="B213" s="46" t="s">
        <v>231</v>
      </c>
      <c r="C213" s="46">
        <v>6</v>
      </c>
      <c r="D213" s="45" t="s">
        <v>210</v>
      </c>
      <c r="E213" s="45">
        <v>1</v>
      </c>
      <c r="F213" s="45">
        <v>1</v>
      </c>
      <c r="G213" s="45">
        <v>6</v>
      </c>
      <c r="H213" s="45">
        <v>60</v>
      </c>
      <c r="I213" s="45">
        <f>(8-1-0.75*2)*60*F213-K213-8*0.12*60</f>
        <v>57.900000000000006</v>
      </c>
      <c r="J213" s="45">
        <v>14</v>
      </c>
      <c r="K213" s="45">
        <f>(8-1-0.75*2)*0.65*60*F213</f>
        <v>214.5</v>
      </c>
      <c r="L213" s="48">
        <v>6.47</v>
      </c>
      <c r="M213" s="48">
        <v>6.47</v>
      </c>
      <c r="N213" s="45">
        <v>10</v>
      </c>
      <c r="O213" s="45">
        <f>E213/F213</f>
        <v>1</v>
      </c>
      <c r="P213" s="45">
        <v>30</v>
      </c>
      <c r="Q213" s="45">
        <v>0</v>
      </c>
      <c r="R213" s="47">
        <v>0</v>
      </c>
      <c r="S213" s="47">
        <v>1.27</v>
      </c>
      <c r="T213" s="48">
        <f>ROUND((L213*I213+1.3*L213*K213+S213*H213),4)</f>
        <v>2254.9724999999999</v>
      </c>
      <c r="U213" s="48">
        <f>ROUND((M213*I213+1.3*M213*K213+S213*H213),4)</f>
        <v>2254.9724999999999</v>
      </c>
      <c r="V213" s="48">
        <f>ROUND((M213*I213+1.3*M213*K213+S213*H213),4)</f>
        <v>2254.9724999999999</v>
      </c>
      <c r="W213" s="48">
        <f>ROUND((L213*J213+1.3*L213*N213+S213*G213),4)</f>
        <v>182.31</v>
      </c>
      <c r="X213" s="48">
        <f>ROUND((M213*J213+1.3*M213*N213+S213*G213),4)</f>
        <v>182.31</v>
      </c>
      <c r="Y213" s="48">
        <f>ROUND((M213*J213+1.3*M213*N213+S213*G213),4)</f>
        <v>182.31</v>
      </c>
      <c r="Z213" s="49">
        <f>ROUND((P213*T213*F213*O213/1000000),4)</f>
        <v>6.7599999999999993E-2</v>
      </c>
      <c r="AA213" s="49">
        <f>ROUND((Q213*U213*F213*O213/1000000),4)</f>
        <v>0</v>
      </c>
      <c r="AB213" s="49">
        <f>ROUND((R213*V213*F213*O213/1000000),4)</f>
        <v>0</v>
      </c>
      <c r="AC213" s="50" t="s">
        <v>200</v>
      </c>
      <c r="AD213" s="51" t="s">
        <v>153</v>
      </c>
      <c r="AE213" s="44">
        <f>ROUND((((X213*E213)/1800)*0.8),4)</f>
        <v>8.1000000000000003E-2</v>
      </c>
      <c r="AF213" s="44">
        <f>ROUND(((Z213+AA213+AB213)*0.8),4)</f>
        <v>5.4100000000000002E-2</v>
      </c>
    </row>
    <row r="214" spans="1:32" ht="12.95" customHeight="1" x14ac:dyDescent="0.25">
      <c r="A214" s="89"/>
      <c r="B214" s="53" t="s">
        <v>232</v>
      </c>
      <c r="C214" s="52"/>
      <c r="D214" s="52"/>
      <c r="E214" s="52"/>
      <c r="F214" s="63"/>
      <c r="G214" s="52"/>
      <c r="H214" s="52"/>
      <c r="I214" s="52"/>
      <c r="J214" s="52"/>
      <c r="K214" s="52"/>
      <c r="L214" s="56"/>
      <c r="M214" s="56"/>
      <c r="N214" s="52"/>
      <c r="O214" s="52"/>
      <c r="P214" s="52"/>
      <c r="Q214" s="52"/>
      <c r="R214" s="52"/>
      <c r="S214" s="57"/>
      <c r="T214" s="54"/>
      <c r="U214" s="54"/>
      <c r="V214" s="54"/>
      <c r="W214" s="54"/>
      <c r="X214" s="54"/>
      <c r="Y214" s="54"/>
      <c r="Z214" s="54"/>
      <c r="AA214" s="54"/>
      <c r="AB214" s="54"/>
      <c r="AC214" s="50" t="s">
        <v>201</v>
      </c>
      <c r="AD214" s="51" t="s">
        <v>202</v>
      </c>
      <c r="AE214" s="44">
        <f>ROUND((((X213*E213)/1800)*0.13),4)</f>
        <v>1.32E-2</v>
      </c>
      <c r="AF214" s="44">
        <f>ROUND(((Z213+AA213+AB213)*0.13),4)</f>
        <v>8.8000000000000005E-3</v>
      </c>
    </row>
    <row r="215" spans="1:32" ht="12.95" customHeight="1" x14ac:dyDescent="0.25">
      <c r="A215" s="89"/>
      <c r="B215" s="67"/>
      <c r="C215" s="55"/>
      <c r="D215" s="55"/>
      <c r="E215" s="52"/>
      <c r="F215" s="63"/>
      <c r="G215" s="52"/>
      <c r="H215" s="52"/>
      <c r="I215" s="52"/>
      <c r="J215" s="52"/>
      <c r="K215" s="52"/>
      <c r="L215" s="59">
        <v>0.51</v>
      </c>
      <c r="M215" s="59">
        <v>0.63</v>
      </c>
      <c r="N215" s="52"/>
      <c r="O215" s="52"/>
      <c r="P215" s="52"/>
      <c r="Q215" s="52"/>
      <c r="R215" s="52"/>
      <c r="S215" s="60">
        <v>0.25</v>
      </c>
      <c r="T215" s="48">
        <f>ROUND((L215*I213+1.3*L215*K213+S215*H213),4)</f>
        <v>186.74250000000001</v>
      </c>
      <c r="U215" s="48">
        <f>ROUND((M215*0.9*I213+1.3*M215*0.9*K213+S215*H213),4)</f>
        <v>205.93729999999999</v>
      </c>
      <c r="V215" s="48">
        <f>ROUND((M215*I213+1.3*M215*K213+S215*H213),4)</f>
        <v>227.1525</v>
      </c>
      <c r="W215" s="48">
        <f>ROUND((L215*J213+1.3*L215*N213+S215*G213),4)</f>
        <v>15.27</v>
      </c>
      <c r="X215" s="48">
        <f>ROUND((M215*0.9*J213+1.3*M215*0.9*N213+S215*G213),4)</f>
        <v>16.809000000000001</v>
      </c>
      <c r="Y215" s="48">
        <f>ROUND((M215*J213+1.3*M215*N213+S215*G213),4)</f>
        <v>18.510000000000002</v>
      </c>
      <c r="Z215" s="49">
        <f>ROUND((P213*T215*F213*O213/1000000),4)</f>
        <v>5.5999999999999999E-3</v>
      </c>
      <c r="AA215" s="49">
        <f>ROUND((Q213*U215*F213*O213/1000000),4)</f>
        <v>0</v>
      </c>
      <c r="AB215" s="49">
        <f>ROUND((R213*V215*F213*O213/1000000),4)</f>
        <v>0</v>
      </c>
      <c r="AC215" s="50" t="s">
        <v>203</v>
      </c>
      <c r="AD215" s="51" t="s">
        <v>204</v>
      </c>
      <c r="AE215" s="44">
        <f>ROUND((((X215*E213)/1800)),4)</f>
        <v>9.2999999999999992E-3</v>
      </c>
      <c r="AF215" s="44">
        <f>ROUND(((Z215+AA215+AB215)),5)</f>
        <v>5.5999999999999999E-3</v>
      </c>
    </row>
    <row r="216" spans="1:32" ht="12.95" customHeight="1" x14ac:dyDescent="0.25">
      <c r="A216" s="89"/>
      <c r="B216" s="53"/>
      <c r="C216" s="52"/>
      <c r="D216" s="52"/>
      <c r="E216" s="52"/>
      <c r="F216" s="63"/>
      <c r="G216" s="52"/>
      <c r="H216" s="52"/>
      <c r="I216" s="52"/>
      <c r="J216" s="52"/>
      <c r="K216" s="52"/>
      <c r="L216" s="59">
        <v>1.1399999999999999</v>
      </c>
      <c r="M216" s="59">
        <v>1.37</v>
      </c>
      <c r="N216" s="52"/>
      <c r="O216" s="52"/>
      <c r="P216" s="52"/>
      <c r="Q216" s="52"/>
      <c r="R216" s="52"/>
      <c r="S216" s="61">
        <v>0.79</v>
      </c>
      <c r="T216" s="48">
        <f>ROUND((L216*I213+1.3*L216*K213+S216*H213),4)</f>
        <v>431.29500000000002</v>
      </c>
      <c r="U216" s="48">
        <f>ROUND((M216*0.9*I213+1.3*M216*0.9*K213+S216*H213),4)</f>
        <v>462.61279999999999</v>
      </c>
      <c r="V216" s="48">
        <f>ROUND((M216*I213+1.3*M216*K213+S216*H213),4)</f>
        <v>508.7475</v>
      </c>
      <c r="W216" s="48">
        <f>ROUND((L216*J213+1.3*L216*N213+S216*G213),4)</f>
        <v>35.520000000000003</v>
      </c>
      <c r="X216" s="48">
        <f>ROUND((M216*0.9*J213+1.3*M216*0.9*N213+S216*G213),4)</f>
        <v>38.030999999999999</v>
      </c>
      <c r="Y216" s="48">
        <f>ROUND((M216*J213+1.3*N213+S216*G213),4)</f>
        <v>36.92</v>
      </c>
      <c r="Z216" s="49">
        <f>ROUND((P213*T216*F213*O213/1000000),4)</f>
        <v>1.29E-2</v>
      </c>
      <c r="AA216" s="49">
        <f>ROUND((Q213*U216*F213*O213/1000000),4)</f>
        <v>0</v>
      </c>
      <c r="AB216" s="49">
        <f>ROUND((R213*V216*F213*O213/1000000),4)</f>
        <v>0</v>
      </c>
      <c r="AC216" s="50" t="s">
        <v>205</v>
      </c>
      <c r="AD216" s="51" t="s">
        <v>206</v>
      </c>
      <c r="AE216" s="44">
        <f>ROUND((((X216*E213)/1800)),4)</f>
        <v>2.1100000000000001E-2</v>
      </c>
      <c r="AF216" s="44">
        <f>ROUND(((Z216+AA216+AB216)),4)</f>
        <v>1.29E-2</v>
      </c>
    </row>
    <row r="217" spans="1:32" ht="12.95" customHeight="1" x14ac:dyDescent="0.25">
      <c r="A217" s="89"/>
      <c r="B217" s="53"/>
      <c r="C217" s="52"/>
      <c r="D217" s="52"/>
      <c r="E217" s="52"/>
      <c r="F217" s="63"/>
      <c r="G217" s="52"/>
      <c r="H217" s="52"/>
      <c r="I217" s="52"/>
      <c r="J217" s="52"/>
      <c r="K217" s="52"/>
      <c r="L217" s="59">
        <v>0.72</v>
      </c>
      <c r="M217" s="59">
        <v>1.08</v>
      </c>
      <c r="N217" s="52"/>
      <c r="O217" s="52"/>
      <c r="P217" s="52"/>
      <c r="Q217" s="52"/>
      <c r="R217" s="52"/>
      <c r="S217" s="61">
        <v>0.17</v>
      </c>
      <c r="T217" s="48">
        <f>ROUND((L217*I213+1.3*L217*K213+S217*H213),4)</f>
        <v>252.66</v>
      </c>
      <c r="U217" s="48">
        <f>ROUND((M217*0.9*I213+1.3*M217*0.9*K213+S217*H213),4)</f>
        <v>337.52100000000002</v>
      </c>
      <c r="V217" s="48">
        <f>ROUND((M217*I213+1.3*M217*K213+S217*H213),4)</f>
        <v>373.89</v>
      </c>
      <c r="W217" s="48">
        <f>ROUND((L217*J213+1.3*L217*N213+S217*G213),4)</f>
        <v>20.46</v>
      </c>
      <c r="X217" s="48">
        <f>ROUND((M217*0.9*J213+1.3*M217*0.9*N213+S217*G213),4)</f>
        <v>27.263999999999999</v>
      </c>
      <c r="Y217" s="48">
        <f>ROUND((M217*J213+1.3*M217*N213+S217*G213),4)</f>
        <v>30.18</v>
      </c>
      <c r="Z217" s="49">
        <f>ROUND((P213*T217*F213*O213/1000000),4)</f>
        <v>7.6E-3</v>
      </c>
      <c r="AA217" s="49">
        <f>ROUND((Q213*U217*F213*O213/1000000),4)</f>
        <v>0</v>
      </c>
      <c r="AB217" s="49">
        <f>ROUND((R213*V217*F213*O213/1000000),4)</f>
        <v>0</v>
      </c>
      <c r="AC217" s="50" t="s">
        <v>250</v>
      </c>
      <c r="AD217" s="51" t="s">
        <v>208</v>
      </c>
      <c r="AE217" s="44">
        <f>ROUND((((X217*E213)/1800)),4)</f>
        <v>1.5100000000000001E-2</v>
      </c>
      <c r="AF217" s="44">
        <f>ROUND(((Z217+AA217+AB217)),4)</f>
        <v>7.6E-3</v>
      </c>
    </row>
    <row r="218" spans="1:32" ht="12.95" customHeight="1" x14ac:dyDescent="0.25">
      <c r="A218" s="89"/>
      <c r="B218" s="62"/>
      <c r="C218" s="56"/>
      <c r="D218" s="56"/>
      <c r="E218" s="56"/>
      <c r="F218" s="66"/>
      <c r="G218" s="56"/>
      <c r="H218" s="56"/>
      <c r="I218" s="56"/>
      <c r="J218" s="56"/>
      <c r="K218" s="56"/>
      <c r="L218" s="59">
        <v>3.37</v>
      </c>
      <c r="M218" s="59">
        <v>4.1100000000000003</v>
      </c>
      <c r="N218" s="56"/>
      <c r="O218" s="56"/>
      <c r="P218" s="56"/>
      <c r="Q218" s="56"/>
      <c r="R218" s="56"/>
      <c r="S218" s="61">
        <v>6.31</v>
      </c>
      <c r="T218" s="48">
        <f>ROUND((L218*I213+1.3*L218*K213+S218*H213),4)</f>
        <v>1513.4475</v>
      </c>
      <c r="U218" s="48">
        <f>ROUND((M218*0.9*I213+1.3*M218*0.9*K213+S218*H213),4)</f>
        <v>1624.2383</v>
      </c>
      <c r="V218" s="48">
        <f>ROUND((M218*I213+1.3*M218*K213+S218*H213),4)</f>
        <v>1762.6424999999999</v>
      </c>
      <c r="W218" s="48">
        <f>ROUND((L218*J213+1.3*L218*N213+S218*G213),4)</f>
        <v>128.85</v>
      </c>
      <c r="X218" s="48">
        <f>ROUND((M218*0.9*J213+1.3*M218*0.9*N213+S218*G213),4)</f>
        <v>137.733</v>
      </c>
      <c r="Y218" s="48">
        <f>ROUND((M218*J213+1.3*M218*N213+S218*G213),4)</f>
        <v>148.83000000000001</v>
      </c>
      <c r="Z218" s="49">
        <f>ROUND((P213*T218*F213*O213/1000000),4)</f>
        <v>4.5400000000000003E-2</v>
      </c>
      <c r="AA218" s="49">
        <f>ROUND((Q213*U218*F213*O213/1000000),4)</f>
        <v>0</v>
      </c>
      <c r="AB218" s="49">
        <f>ROUND((R213*V218*F213*O213/1000000),4)</f>
        <v>0</v>
      </c>
      <c r="AC218" s="50" t="s">
        <v>170</v>
      </c>
      <c r="AD218" s="51" t="s">
        <v>162</v>
      </c>
      <c r="AE218" s="44">
        <f>ROUND((((X218*E213)/1800)),4)</f>
        <v>7.6499999999999999E-2</v>
      </c>
      <c r="AF218" s="44">
        <f>ROUND(((Z218+AA218+AB218)),4)</f>
        <v>4.5400000000000003E-2</v>
      </c>
    </row>
    <row r="219" spans="1:32" ht="12.95" customHeight="1" x14ac:dyDescent="0.25">
      <c r="A219" s="89"/>
      <c r="B219" s="46" t="s">
        <v>231</v>
      </c>
      <c r="C219" s="46">
        <v>6</v>
      </c>
      <c r="D219" s="45" t="s">
        <v>210</v>
      </c>
      <c r="E219" s="45">
        <v>1</v>
      </c>
      <c r="F219" s="45">
        <v>1</v>
      </c>
      <c r="G219" s="45">
        <v>6</v>
      </c>
      <c r="H219" s="45">
        <v>60</v>
      </c>
      <c r="I219" s="45">
        <f>(8-1-0.75*2)*60*F219-K219-8*0.12*60</f>
        <v>57.900000000000006</v>
      </c>
      <c r="J219" s="45">
        <v>14</v>
      </c>
      <c r="K219" s="45">
        <f>(8-1-0.75*2)*0.65*60*F219</f>
        <v>214.5</v>
      </c>
      <c r="L219" s="48">
        <v>6.47</v>
      </c>
      <c r="M219" s="48">
        <v>6.47</v>
      </c>
      <c r="N219" s="45">
        <v>10</v>
      </c>
      <c r="O219" s="45">
        <f>E219/F219</f>
        <v>1</v>
      </c>
      <c r="P219" s="45">
        <v>20</v>
      </c>
      <c r="Q219" s="45">
        <v>0</v>
      </c>
      <c r="R219" s="47">
        <v>0</v>
      </c>
      <c r="S219" s="47">
        <v>1.27</v>
      </c>
      <c r="T219" s="48">
        <f>ROUND((L219*I219+1.3*L219*K219+S219*H219),4)</f>
        <v>2254.9724999999999</v>
      </c>
      <c r="U219" s="48">
        <f>ROUND((M219*I219+1.3*M219*K219+S219*H219),4)</f>
        <v>2254.9724999999999</v>
      </c>
      <c r="V219" s="48">
        <f>ROUND((M219*I219+1.3*M219*K219+S219*H219),4)</f>
        <v>2254.9724999999999</v>
      </c>
      <c r="W219" s="48">
        <f>ROUND((L219*J219+1.3*L219*N219+S219*G219),4)</f>
        <v>182.31</v>
      </c>
      <c r="X219" s="48">
        <f>ROUND((M219*J219+1.3*M219*N219+S219*G219),4)</f>
        <v>182.31</v>
      </c>
      <c r="Y219" s="48">
        <f>ROUND((M219*J219+1.3*M219*N219+S219*G219),4)</f>
        <v>182.31</v>
      </c>
      <c r="Z219" s="49">
        <f>ROUND((P219*T219*F219*O219/1000000),4)</f>
        <v>4.5100000000000001E-2</v>
      </c>
      <c r="AA219" s="49">
        <f>ROUND((Q219*U219*F219*O219/1000000),4)</f>
        <v>0</v>
      </c>
      <c r="AB219" s="49">
        <f>ROUND((R219*V219*F219*O219/1000000),4)</f>
        <v>0</v>
      </c>
      <c r="AC219" s="50" t="s">
        <v>200</v>
      </c>
      <c r="AD219" s="51" t="s">
        <v>153</v>
      </c>
      <c r="AE219" s="44">
        <f>ROUND((((X219*E219)/1800)*0.8),4)</f>
        <v>8.1000000000000003E-2</v>
      </c>
      <c r="AF219" s="44">
        <f>ROUND(((Z219+AA219+AB219)*0.8),4)</f>
        <v>3.61E-2</v>
      </c>
    </row>
    <row r="220" spans="1:32" ht="12.95" customHeight="1" x14ac:dyDescent="0.25">
      <c r="A220" s="89"/>
      <c r="B220" s="53" t="s">
        <v>233</v>
      </c>
      <c r="C220" s="52"/>
      <c r="D220" s="52"/>
      <c r="E220" s="52"/>
      <c r="F220" s="63"/>
      <c r="G220" s="52"/>
      <c r="H220" s="52"/>
      <c r="I220" s="52"/>
      <c r="J220" s="52"/>
      <c r="K220" s="52"/>
      <c r="L220" s="56"/>
      <c r="M220" s="56"/>
      <c r="N220" s="52"/>
      <c r="O220" s="52"/>
      <c r="P220" s="52"/>
      <c r="Q220" s="52"/>
      <c r="R220" s="52"/>
      <c r="S220" s="57"/>
      <c r="T220" s="54"/>
      <c r="U220" s="54"/>
      <c r="V220" s="54"/>
      <c r="W220" s="54"/>
      <c r="X220" s="54"/>
      <c r="Y220" s="54"/>
      <c r="Z220" s="54"/>
      <c r="AA220" s="54"/>
      <c r="AB220" s="54"/>
      <c r="AC220" s="50" t="s">
        <v>201</v>
      </c>
      <c r="AD220" s="51" t="s">
        <v>202</v>
      </c>
      <c r="AE220" s="44">
        <f>ROUND((((X219*E219)/1800)*0.13),4)</f>
        <v>1.32E-2</v>
      </c>
      <c r="AF220" s="44">
        <f>ROUND(((Z219+AA219+AB219)*0.13),4)</f>
        <v>5.8999999999999999E-3</v>
      </c>
    </row>
    <row r="221" spans="1:32" ht="12.95" customHeight="1" x14ac:dyDescent="0.25">
      <c r="A221" s="89"/>
      <c r="B221" s="67"/>
      <c r="C221" s="55"/>
      <c r="D221" s="55"/>
      <c r="E221" s="52"/>
      <c r="F221" s="63"/>
      <c r="G221" s="52"/>
      <c r="H221" s="52"/>
      <c r="I221" s="52"/>
      <c r="J221" s="52"/>
      <c r="K221" s="52"/>
      <c r="L221" s="59">
        <v>0.51</v>
      </c>
      <c r="M221" s="59">
        <v>0.63</v>
      </c>
      <c r="N221" s="52"/>
      <c r="O221" s="52"/>
      <c r="P221" s="52"/>
      <c r="Q221" s="52"/>
      <c r="R221" s="52"/>
      <c r="S221" s="60">
        <v>0.25</v>
      </c>
      <c r="T221" s="48">
        <f>ROUND((L221*I219+1.3*L221*K219+S221*H219),4)</f>
        <v>186.74250000000001</v>
      </c>
      <c r="U221" s="48">
        <f>ROUND((M221*0.9*I219+1.3*M221*0.9*K219+S221*H219),4)</f>
        <v>205.93729999999999</v>
      </c>
      <c r="V221" s="48">
        <f>ROUND((M221*I219+1.3*M221*K219+S221*H219),4)</f>
        <v>227.1525</v>
      </c>
      <c r="W221" s="48">
        <f>ROUND((L221*J219+1.3*L221*N219+S221*G219),4)</f>
        <v>15.27</v>
      </c>
      <c r="X221" s="48">
        <f>ROUND((M221*0.9*J219+1.3*M221*0.9*N219+S221*G219),4)</f>
        <v>16.809000000000001</v>
      </c>
      <c r="Y221" s="48">
        <f>ROUND((M221*J219+1.3*M221*N219+S221*G219),4)</f>
        <v>18.510000000000002</v>
      </c>
      <c r="Z221" s="49">
        <f>ROUND((P219*T221*F219*O219/1000000),4)</f>
        <v>3.7000000000000002E-3</v>
      </c>
      <c r="AA221" s="49">
        <f>ROUND((Q219*U221*F219*O219/1000000),4)</f>
        <v>0</v>
      </c>
      <c r="AB221" s="49">
        <f>ROUND((R219*V221*F219*O219/1000000),4)</f>
        <v>0</v>
      </c>
      <c r="AC221" s="50" t="s">
        <v>203</v>
      </c>
      <c r="AD221" s="51" t="s">
        <v>204</v>
      </c>
      <c r="AE221" s="44">
        <f>ROUND((((X221*E219)/1800)),4)</f>
        <v>9.2999999999999992E-3</v>
      </c>
      <c r="AF221" s="44">
        <f>ROUND(((Z221+AA221+AB221)),5)</f>
        <v>3.7000000000000002E-3</v>
      </c>
    </row>
    <row r="222" spans="1:32" ht="12.95" customHeight="1" x14ac:dyDescent="0.25">
      <c r="A222" s="89"/>
      <c r="B222" s="53"/>
      <c r="C222" s="52"/>
      <c r="D222" s="52"/>
      <c r="E222" s="52"/>
      <c r="F222" s="63"/>
      <c r="G222" s="52"/>
      <c r="H222" s="52"/>
      <c r="I222" s="52"/>
      <c r="J222" s="52"/>
      <c r="K222" s="52"/>
      <c r="L222" s="59">
        <v>1.1399999999999999</v>
      </c>
      <c r="M222" s="59">
        <v>1.37</v>
      </c>
      <c r="N222" s="52"/>
      <c r="O222" s="52"/>
      <c r="P222" s="52"/>
      <c r="Q222" s="52"/>
      <c r="R222" s="52"/>
      <c r="S222" s="61">
        <v>0.79</v>
      </c>
      <c r="T222" s="48">
        <f>ROUND((L222*I219+1.3*L222*K219+S222*H219),4)</f>
        <v>431.29500000000002</v>
      </c>
      <c r="U222" s="48">
        <f>ROUND((M222*0.9*I219+1.3*M222*0.9*K219+S222*H219),4)</f>
        <v>462.61279999999999</v>
      </c>
      <c r="V222" s="48">
        <f>ROUND((M222*I219+1.3*M222*K219+S222*H219),4)</f>
        <v>508.7475</v>
      </c>
      <c r="W222" s="48">
        <f>ROUND((L222*J219+1.3*L222*N219+S222*G219),4)</f>
        <v>35.520000000000003</v>
      </c>
      <c r="X222" s="48">
        <f>ROUND((M222*0.9*J219+1.3*M222*0.9*N219+S222*G219),4)</f>
        <v>38.030999999999999</v>
      </c>
      <c r="Y222" s="48">
        <f>ROUND((M222*J219+1.3*N219+S222*G219),4)</f>
        <v>36.92</v>
      </c>
      <c r="Z222" s="49">
        <f>ROUND((P219*T222*F219*O219/1000000),4)</f>
        <v>8.6E-3</v>
      </c>
      <c r="AA222" s="49">
        <f>ROUND((Q219*U222*F219*O219/1000000),4)</f>
        <v>0</v>
      </c>
      <c r="AB222" s="49">
        <f>ROUND((R219*V222*F219*O219/1000000),4)</f>
        <v>0</v>
      </c>
      <c r="AC222" s="50" t="s">
        <v>205</v>
      </c>
      <c r="AD222" s="51" t="s">
        <v>206</v>
      </c>
      <c r="AE222" s="44">
        <f>ROUND((((X222*E219)/1800)),4)</f>
        <v>2.1100000000000001E-2</v>
      </c>
      <c r="AF222" s="44">
        <f>ROUND(((Z222+AA222+AB222)),4)</f>
        <v>8.6E-3</v>
      </c>
    </row>
    <row r="223" spans="1:32" ht="12.95" customHeight="1" x14ac:dyDescent="0.25">
      <c r="A223" s="89"/>
      <c r="B223" s="53"/>
      <c r="C223" s="52"/>
      <c r="D223" s="52"/>
      <c r="E223" s="52"/>
      <c r="F223" s="63"/>
      <c r="G223" s="52"/>
      <c r="H223" s="52"/>
      <c r="I223" s="52"/>
      <c r="J223" s="52"/>
      <c r="K223" s="52"/>
      <c r="L223" s="59">
        <v>0.72</v>
      </c>
      <c r="M223" s="59">
        <v>1.08</v>
      </c>
      <c r="N223" s="52"/>
      <c r="O223" s="52"/>
      <c r="P223" s="52"/>
      <c r="Q223" s="52"/>
      <c r="R223" s="52"/>
      <c r="S223" s="61">
        <v>0.17</v>
      </c>
      <c r="T223" s="48">
        <f>ROUND((L223*I219+1.3*L223*K219+S223*H219),4)</f>
        <v>252.66</v>
      </c>
      <c r="U223" s="48">
        <f>ROUND((M223*0.9*I219+1.3*M223*0.9*K219+S223*H219),4)</f>
        <v>337.52100000000002</v>
      </c>
      <c r="V223" s="48">
        <f>ROUND((M223*I219+1.3*M223*K219+S223*H219),4)</f>
        <v>373.89</v>
      </c>
      <c r="W223" s="48">
        <f>ROUND((L223*J219+1.3*L223*N219+S223*G219),4)</f>
        <v>20.46</v>
      </c>
      <c r="X223" s="48">
        <f>ROUND((M223*0.9*J219+1.3*M223*0.9*N219+S223*G219),4)</f>
        <v>27.263999999999999</v>
      </c>
      <c r="Y223" s="48">
        <f>ROUND((M223*J219+1.3*M223*N219+S223*G219),4)</f>
        <v>30.18</v>
      </c>
      <c r="Z223" s="49">
        <f>ROUND((P219*T223*F219*O219/1000000),4)</f>
        <v>5.1000000000000004E-3</v>
      </c>
      <c r="AA223" s="49">
        <f>ROUND((Q219*U223*F219*O219/1000000),4)</f>
        <v>0</v>
      </c>
      <c r="AB223" s="49">
        <f>ROUND((R219*V223*F219*O219/1000000),4)</f>
        <v>0</v>
      </c>
      <c r="AC223" s="50" t="s">
        <v>250</v>
      </c>
      <c r="AD223" s="51" t="s">
        <v>208</v>
      </c>
      <c r="AE223" s="44">
        <f>ROUND((((X223*E219)/1800)),4)</f>
        <v>1.5100000000000001E-2</v>
      </c>
      <c r="AF223" s="44">
        <f>ROUND(((Z223+AA223+AB223)),4)</f>
        <v>5.1000000000000004E-3</v>
      </c>
    </row>
    <row r="224" spans="1:32" ht="12.95" customHeight="1" x14ac:dyDescent="0.25">
      <c r="A224" s="89"/>
      <c r="B224" s="62"/>
      <c r="C224" s="56"/>
      <c r="D224" s="56"/>
      <c r="E224" s="56"/>
      <c r="F224" s="66"/>
      <c r="G224" s="56"/>
      <c r="H224" s="56"/>
      <c r="I224" s="56"/>
      <c r="J224" s="56"/>
      <c r="K224" s="56"/>
      <c r="L224" s="59">
        <v>3.37</v>
      </c>
      <c r="M224" s="59">
        <v>4.1100000000000003</v>
      </c>
      <c r="N224" s="56"/>
      <c r="O224" s="56"/>
      <c r="P224" s="56"/>
      <c r="Q224" s="56"/>
      <c r="R224" s="56"/>
      <c r="S224" s="61">
        <v>6.31</v>
      </c>
      <c r="T224" s="48">
        <f>ROUND((L224*I219+1.3*L224*K219+S224*H219),4)</f>
        <v>1513.4475</v>
      </c>
      <c r="U224" s="48">
        <f>ROUND((M224*0.9*I219+1.3*M224*0.9*K219+S224*H219),4)</f>
        <v>1624.2383</v>
      </c>
      <c r="V224" s="48">
        <f>ROUND((M224*I219+1.3*M224*K219+S224*H219),4)</f>
        <v>1762.6424999999999</v>
      </c>
      <c r="W224" s="48">
        <f>ROUND((L224*J219+1.3*L224*N219+S224*G219),4)</f>
        <v>128.85</v>
      </c>
      <c r="X224" s="48">
        <f>ROUND((M224*0.9*J219+1.3*M224*0.9*N219+S224*G219),4)</f>
        <v>137.733</v>
      </c>
      <c r="Y224" s="48">
        <f>ROUND((M224*J219+1.3*M224*N219+S224*G219),4)</f>
        <v>148.83000000000001</v>
      </c>
      <c r="Z224" s="49">
        <f>ROUND((P219*T224*F219*O219/1000000),4)</f>
        <v>3.0300000000000001E-2</v>
      </c>
      <c r="AA224" s="49">
        <f>ROUND((Q219*U224*F219*O219/1000000),4)</f>
        <v>0</v>
      </c>
      <c r="AB224" s="49">
        <f>ROUND((R219*V224*F219*O219/1000000),4)</f>
        <v>0</v>
      </c>
      <c r="AC224" s="50" t="s">
        <v>170</v>
      </c>
      <c r="AD224" s="51" t="s">
        <v>162</v>
      </c>
      <c r="AE224" s="44">
        <f>ROUND((((X224*E219)/1800)),4)</f>
        <v>7.6499999999999999E-2</v>
      </c>
      <c r="AF224" s="44">
        <f>ROUND(((Z224+AA224+AB224)),4)</f>
        <v>3.0300000000000001E-2</v>
      </c>
    </row>
    <row r="225" spans="1:32" ht="12.95" customHeight="1" x14ac:dyDescent="0.25">
      <c r="A225" s="89"/>
      <c r="B225" s="46" t="s">
        <v>234</v>
      </c>
      <c r="C225" s="46">
        <v>6</v>
      </c>
      <c r="D225" s="45" t="s">
        <v>210</v>
      </c>
      <c r="E225" s="45">
        <v>1</v>
      </c>
      <c r="F225" s="45">
        <v>2</v>
      </c>
      <c r="G225" s="45">
        <v>6</v>
      </c>
      <c r="H225" s="45">
        <v>60</v>
      </c>
      <c r="I225" s="45">
        <f>(8-1-0.75*2)*60*F225-K225-8*0.12*60</f>
        <v>173.4</v>
      </c>
      <c r="J225" s="45">
        <v>14</v>
      </c>
      <c r="K225" s="45">
        <f>(8-1-0.75*2)*0.65*60*F225</f>
        <v>429</v>
      </c>
      <c r="L225" s="48">
        <v>6.47</v>
      </c>
      <c r="M225" s="48">
        <v>6.47</v>
      </c>
      <c r="N225" s="45">
        <v>10</v>
      </c>
      <c r="O225" s="45">
        <f>E225/F225</f>
        <v>0.5</v>
      </c>
      <c r="P225" s="45">
        <v>150</v>
      </c>
      <c r="Q225" s="45">
        <v>0</v>
      </c>
      <c r="R225" s="47">
        <v>0</v>
      </c>
      <c r="S225" s="47">
        <v>1.27</v>
      </c>
      <c r="T225" s="48">
        <f>ROUND((L225*I225+1.3*L225*K225+S225*H225),4)</f>
        <v>4806.4170000000004</v>
      </c>
      <c r="U225" s="48">
        <f>ROUND((M225*I225+1.3*M225*K225+S225*H225),4)</f>
        <v>4806.4170000000004</v>
      </c>
      <c r="V225" s="48">
        <f>ROUND((M225*I225+1.3*M225*K225+S225*H225),4)</f>
        <v>4806.4170000000004</v>
      </c>
      <c r="W225" s="48">
        <f>ROUND((L225*J225+1.3*L225*N225+S225*G225),4)</f>
        <v>182.31</v>
      </c>
      <c r="X225" s="48">
        <f>ROUND((M225*J225+1.3*M225*N225+S225*G225),4)</f>
        <v>182.31</v>
      </c>
      <c r="Y225" s="48">
        <f>ROUND((M225*J225+1.3*M225*N225+S225*G225),4)</f>
        <v>182.31</v>
      </c>
      <c r="Z225" s="49">
        <f>ROUND((P225*T225*F225*O225/1000000),4)</f>
        <v>0.72099999999999997</v>
      </c>
      <c r="AA225" s="49">
        <f>ROUND((Q225*U225*F225*O225/1000000),4)</f>
        <v>0</v>
      </c>
      <c r="AB225" s="49">
        <f>ROUND((R225*V225*F225*O225/1000000),4)</f>
        <v>0</v>
      </c>
      <c r="AC225" s="50" t="s">
        <v>200</v>
      </c>
      <c r="AD225" s="51" t="s">
        <v>153</v>
      </c>
      <c r="AE225" s="44">
        <f>ROUND((((X225*E225)/1800)*0.8),4)</f>
        <v>8.1000000000000003E-2</v>
      </c>
      <c r="AF225" s="44">
        <f>ROUND(((Z225+AA225+AB225)*0.8),4)</f>
        <v>0.57679999999999998</v>
      </c>
    </row>
    <row r="226" spans="1:32" ht="12.95" customHeight="1" x14ac:dyDescent="0.25">
      <c r="A226" s="89"/>
      <c r="B226" s="53" t="s">
        <v>235</v>
      </c>
      <c r="C226" s="52"/>
      <c r="D226" s="52"/>
      <c r="E226" s="52"/>
      <c r="F226" s="63"/>
      <c r="G226" s="52"/>
      <c r="H226" s="52"/>
      <c r="I226" s="52"/>
      <c r="J226" s="52"/>
      <c r="K226" s="52"/>
      <c r="L226" s="56"/>
      <c r="M226" s="56"/>
      <c r="N226" s="52"/>
      <c r="O226" s="52"/>
      <c r="P226" s="52"/>
      <c r="Q226" s="52"/>
      <c r="R226" s="52"/>
      <c r="S226" s="57"/>
      <c r="T226" s="54"/>
      <c r="U226" s="54"/>
      <c r="V226" s="54"/>
      <c r="W226" s="54"/>
      <c r="X226" s="54"/>
      <c r="Y226" s="54"/>
      <c r="Z226" s="54"/>
      <c r="AA226" s="54"/>
      <c r="AB226" s="54"/>
      <c r="AC226" s="50" t="s">
        <v>201</v>
      </c>
      <c r="AD226" s="51" t="s">
        <v>202</v>
      </c>
      <c r="AE226" s="44">
        <f>ROUND((((X225*E225)/1800)*0.13),4)</f>
        <v>1.32E-2</v>
      </c>
      <c r="AF226" s="44">
        <f>ROUND(((Z225+AA225+AB225)*0.13),4)</f>
        <v>9.3700000000000006E-2</v>
      </c>
    </row>
    <row r="227" spans="1:32" ht="12.95" customHeight="1" x14ac:dyDescent="0.25">
      <c r="A227" s="89"/>
      <c r="B227" s="67"/>
      <c r="C227" s="55"/>
      <c r="D227" s="55"/>
      <c r="E227" s="52"/>
      <c r="F227" s="63"/>
      <c r="G227" s="52"/>
      <c r="H227" s="52"/>
      <c r="I227" s="52"/>
      <c r="J227" s="52"/>
      <c r="K227" s="52"/>
      <c r="L227" s="59">
        <v>0.51</v>
      </c>
      <c r="M227" s="59">
        <v>0.63</v>
      </c>
      <c r="N227" s="52"/>
      <c r="O227" s="52"/>
      <c r="P227" s="52"/>
      <c r="Q227" s="52"/>
      <c r="R227" s="52"/>
      <c r="S227" s="60">
        <v>0.25</v>
      </c>
      <c r="T227" s="48">
        <f>ROUND((L227*I225+1.3*L227*K225+S227*H225),4)</f>
        <v>387.86099999999999</v>
      </c>
      <c r="U227" s="48">
        <f>ROUND((M227*0.9*I225+1.3*M227*0.9*K225+S227*H225),4)</f>
        <v>429.53370000000001</v>
      </c>
      <c r="V227" s="48">
        <f>ROUND((M227*I225+1.3*M227*K225+S227*H225),4)</f>
        <v>475.59300000000002</v>
      </c>
      <c r="W227" s="48">
        <f>ROUND((L227*J225+1.3*L227*N225+S227*G225),4)</f>
        <v>15.27</v>
      </c>
      <c r="X227" s="48">
        <f>ROUND((M227*0.9*J225+1.3*M227*0.9*N225+S227*G225),4)</f>
        <v>16.809000000000001</v>
      </c>
      <c r="Y227" s="48">
        <f>ROUND((M227*J225+1.3*M227*N225+S227*G225),4)</f>
        <v>18.510000000000002</v>
      </c>
      <c r="Z227" s="49">
        <f>ROUND((P225*T227*F225*O225/1000000),4)</f>
        <v>5.8200000000000002E-2</v>
      </c>
      <c r="AA227" s="49">
        <f>ROUND((Q225*U227*F225*O225/1000000),4)</f>
        <v>0</v>
      </c>
      <c r="AB227" s="49">
        <f>ROUND((R225*V227*F225*O225/1000000),4)</f>
        <v>0</v>
      </c>
      <c r="AC227" s="50" t="s">
        <v>203</v>
      </c>
      <c r="AD227" s="51" t="s">
        <v>204</v>
      </c>
      <c r="AE227" s="44">
        <f>ROUND((((X227*E225)/1800)),4)</f>
        <v>9.2999999999999992E-3</v>
      </c>
      <c r="AF227" s="44">
        <f>ROUND(((Z227+AA227+AB227)),5)</f>
        <v>5.8200000000000002E-2</v>
      </c>
    </row>
    <row r="228" spans="1:32" ht="12.95" customHeight="1" x14ac:dyDescent="0.25">
      <c r="A228" s="89"/>
      <c r="B228" s="53"/>
      <c r="C228" s="52"/>
      <c r="D228" s="52"/>
      <c r="E228" s="52"/>
      <c r="F228" s="63"/>
      <c r="G228" s="52"/>
      <c r="H228" s="52"/>
      <c r="I228" s="52"/>
      <c r="J228" s="52"/>
      <c r="K228" s="52"/>
      <c r="L228" s="59">
        <v>1.1399999999999999</v>
      </c>
      <c r="M228" s="59">
        <v>1.37</v>
      </c>
      <c r="N228" s="52"/>
      <c r="O228" s="52"/>
      <c r="P228" s="52"/>
      <c r="Q228" s="52"/>
      <c r="R228" s="52"/>
      <c r="S228" s="61">
        <v>0.79</v>
      </c>
      <c r="T228" s="48">
        <f>ROUND((L228*I225+1.3*L228*K225+S228*H225),4)</f>
        <v>880.85400000000004</v>
      </c>
      <c r="U228" s="48">
        <f>ROUND((M228*0.9*I225+1.3*M228*0.9*K225+S228*H225),4)</f>
        <v>948.84630000000004</v>
      </c>
      <c r="V228" s="48">
        <f>ROUND((M228*I225+1.3*M228*K225+S228*H225),4)</f>
        <v>1049.0070000000001</v>
      </c>
      <c r="W228" s="48">
        <f>ROUND((L228*J225+1.3*L228*N225+S228*G225),4)</f>
        <v>35.520000000000003</v>
      </c>
      <c r="X228" s="48">
        <f>ROUND((M228*0.9*J225+1.3*M228*0.9*N225+S228*G225),4)</f>
        <v>38.030999999999999</v>
      </c>
      <c r="Y228" s="48">
        <f>ROUND((M228*J225+1.3*N225+S228*G225),4)</f>
        <v>36.92</v>
      </c>
      <c r="Z228" s="49">
        <f>ROUND((P225*T228*F225*O225/1000000),4)</f>
        <v>0.1321</v>
      </c>
      <c r="AA228" s="49">
        <f>ROUND((Q225*U228*F225*O225/1000000),4)</f>
        <v>0</v>
      </c>
      <c r="AB228" s="49">
        <f>ROUND((R225*V228*F225*O225/1000000),4)</f>
        <v>0</v>
      </c>
      <c r="AC228" s="50" t="s">
        <v>205</v>
      </c>
      <c r="AD228" s="51" t="s">
        <v>206</v>
      </c>
      <c r="AE228" s="44">
        <f>ROUND((((X228*E225)/1800)),4)</f>
        <v>2.1100000000000001E-2</v>
      </c>
      <c r="AF228" s="44">
        <f>ROUND(((Z228+AA228+AB228)),4)</f>
        <v>0.1321</v>
      </c>
    </row>
    <row r="229" spans="1:32" ht="12.95" customHeight="1" x14ac:dyDescent="0.25">
      <c r="A229" s="89"/>
      <c r="B229" s="53"/>
      <c r="C229" s="52"/>
      <c r="D229" s="52"/>
      <c r="E229" s="52"/>
      <c r="F229" s="63"/>
      <c r="G229" s="52"/>
      <c r="H229" s="52"/>
      <c r="I229" s="52"/>
      <c r="J229" s="52"/>
      <c r="K229" s="52"/>
      <c r="L229" s="59">
        <v>0.72</v>
      </c>
      <c r="M229" s="59">
        <v>1.08</v>
      </c>
      <c r="N229" s="52"/>
      <c r="O229" s="52"/>
      <c r="P229" s="52"/>
      <c r="Q229" s="52"/>
      <c r="R229" s="52"/>
      <c r="S229" s="61">
        <v>0.17</v>
      </c>
      <c r="T229" s="48">
        <f>ROUND((L229*I225+1.3*L229*K225+S229*H225),4)</f>
        <v>536.59199999999998</v>
      </c>
      <c r="U229" s="48">
        <f>ROUND((M229*0.9*I225+1.3*M229*0.9*K225+S229*H225),4)</f>
        <v>720.82920000000001</v>
      </c>
      <c r="V229" s="48">
        <f>ROUND((M229*I225+1.3*M229*K225+S229*H225),4)</f>
        <v>799.78800000000001</v>
      </c>
      <c r="W229" s="48">
        <f>ROUND((L229*J225+1.3*L229*N225+S229*G225),4)</f>
        <v>20.46</v>
      </c>
      <c r="X229" s="48">
        <f>ROUND((M229*0.9*J225+1.3*M229*0.9*N225+S229*G225),4)</f>
        <v>27.263999999999999</v>
      </c>
      <c r="Y229" s="48">
        <f>ROUND((M229*J225+1.3*M229*N225+S229*G225),4)</f>
        <v>30.18</v>
      </c>
      <c r="Z229" s="49">
        <f>ROUND((P225*T229*F225*O225/1000000),4)</f>
        <v>8.0500000000000002E-2</v>
      </c>
      <c r="AA229" s="49">
        <f>ROUND((Q225*U229*F225*O225/1000000),4)</f>
        <v>0</v>
      </c>
      <c r="AB229" s="49">
        <f>ROUND((R225*V229*F225*O225/1000000),4)</f>
        <v>0</v>
      </c>
      <c r="AC229" s="50" t="s">
        <v>250</v>
      </c>
      <c r="AD229" s="51" t="s">
        <v>208</v>
      </c>
      <c r="AE229" s="44">
        <f>ROUND((((X229*E225)/1800)),4)</f>
        <v>1.5100000000000001E-2</v>
      </c>
      <c r="AF229" s="44">
        <f>ROUND(((Z229+AA229+AB229)),4)</f>
        <v>8.0500000000000002E-2</v>
      </c>
    </row>
    <row r="230" spans="1:32" ht="12.95" customHeight="1" x14ac:dyDescent="0.25">
      <c r="A230" s="89"/>
      <c r="B230" s="62"/>
      <c r="C230" s="56"/>
      <c r="D230" s="56"/>
      <c r="E230" s="56"/>
      <c r="F230" s="66"/>
      <c r="G230" s="56"/>
      <c r="H230" s="56"/>
      <c r="I230" s="56"/>
      <c r="J230" s="56"/>
      <c r="K230" s="56"/>
      <c r="L230" s="59">
        <v>3.37</v>
      </c>
      <c r="M230" s="59">
        <v>4.1100000000000003</v>
      </c>
      <c r="N230" s="56"/>
      <c r="O230" s="56"/>
      <c r="P230" s="56"/>
      <c r="Q230" s="56"/>
      <c r="R230" s="56"/>
      <c r="S230" s="61">
        <v>6.31</v>
      </c>
      <c r="T230" s="48">
        <f>ROUND((L230*I225+1.3*L230*K225+S230*H225),4)</f>
        <v>2842.4070000000002</v>
      </c>
      <c r="U230" s="48">
        <f>ROUND((M230*0.9*I225+1.3*M230*0.9*K225+S230*H225),4)</f>
        <v>3082.9389000000001</v>
      </c>
      <c r="V230" s="48">
        <f>ROUND((M230*I225+1.3*M230*K225+S230*H225),4)</f>
        <v>3383.4209999999998</v>
      </c>
      <c r="W230" s="48">
        <f>ROUND((L230*J225+1.3*L230*N225+S230*G225),4)</f>
        <v>128.85</v>
      </c>
      <c r="X230" s="48">
        <f>ROUND((M230*0.9*J225+1.3*M230*0.9*N225+S230*G225),4)</f>
        <v>137.733</v>
      </c>
      <c r="Y230" s="48">
        <f>ROUND((M230*J225+1.3*M230*N225+S230*G225),4)</f>
        <v>148.83000000000001</v>
      </c>
      <c r="Z230" s="49">
        <f>ROUND((P225*T230*F225*O225/1000000),4)</f>
        <v>0.4264</v>
      </c>
      <c r="AA230" s="49">
        <f>ROUND((Q225*U230*F225*O225/1000000),4)</f>
        <v>0</v>
      </c>
      <c r="AB230" s="49">
        <f>ROUND((R225*V230*F225*O225/1000000),4)</f>
        <v>0</v>
      </c>
      <c r="AC230" s="50" t="s">
        <v>170</v>
      </c>
      <c r="AD230" s="51" t="s">
        <v>162</v>
      </c>
      <c r="AE230" s="44">
        <f>ROUND((((X230*E225)/1800)),4)</f>
        <v>7.6499999999999999E-2</v>
      </c>
      <c r="AF230" s="44">
        <f>ROUND(((Z230+AA230+AB230)),4)</f>
        <v>0.4264</v>
      </c>
    </row>
    <row r="231" spans="1:32" ht="12.95" customHeight="1" x14ac:dyDescent="0.25">
      <c r="A231" s="52"/>
      <c r="B231" s="67" t="s">
        <v>220</v>
      </c>
      <c r="C231" s="46">
        <v>7</v>
      </c>
      <c r="D231" s="45" t="s">
        <v>217</v>
      </c>
      <c r="E231" s="45">
        <v>1</v>
      </c>
      <c r="F231" s="45">
        <v>4</v>
      </c>
      <c r="G231" s="45">
        <v>6</v>
      </c>
      <c r="H231" s="45">
        <v>60</v>
      </c>
      <c r="I231" s="45">
        <f>(8-1-0.75*2)*60*F231-K231-8*0.12*60</f>
        <v>404.4</v>
      </c>
      <c r="J231" s="45">
        <v>14</v>
      </c>
      <c r="K231" s="45">
        <f>(8-1-0.75*2)*0.65*60*F231</f>
        <v>858</v>
      </c>
      <c r="L231" s="48">
        <v>10.16</v>
      </c>
      <c r="M231" s="48">
        <v>10.16</v>
      </c>
      <c r="N231" s="45">
        <v>10</v>
      </c>
      <c r="O231" s="45">
        <f>E231/F231</f>
        <v>0.25</v>
      </c>
      <c r="P231" s="45">
        <v>90</v>
      </c>
      <c r="Q231" s="45">
        <v>30</v>
      </c>
      <c r="R231" s="47">
        <v>0</v>
      </c>
      <c r="S231" s="47">
        <v>1.99</v>
      </c>
      <c r="T231" s="48">
        <f>ROUND((L231*I231+1.3*L231*K231+S231*H231),4)</f>
        <v>15560.567999999999</v>
      </c>
      <c r="U231" s="48">
        <f>ROUND((M231*I231+1.3*M231*K231+S231*H231),4)</f>
        <v>15560.567999999999</v>
      </c>
      <c r="V231" s="48">
        <f>ROUND((M231*I231+1.3*M231*K231+S231*H231),4)</f>
        <v>15560.567999999999</v>
      </c>
      <c r="W231" s="48">
        <f>ROUND((L231*J231+1.3*L231*N231+S231*G231),4)</f>
        <v>286.26</v>
      </c>
      <c r="X231" s="48">
        <f>ROUND((M231*J231+1.3*M231*N231+S231*G231),4)</f>
        <v>286.26</v>
      </c>
      <c r="Y231" s="48">
        <f>ROUND((M231*J231+1.3*M231*N231+S231*G231),4)</f>
        <v>286.26</v>
      </c>
      <c r="Z231" s="49">
        <f>ROUND((P231*T231*F231*O231/1000000),4)</f>
        <v>1.4005000000000001</v>
      </c>
      <c r="AA231" s="49">
        <f>ROUND((Q231*U231*F231*O231/1000000),4)</f>
        <v>0.46679999999999999</v>
      </c>
      <c r="AB231" s="49">
        <f>ROUND((R231*V231*F231*O231/1000000),4)</f>
        <v>0</v>
      </c>
      <c r="AC231" s="50" t="s">
        <v>200</v>
      </c>
      <c r="AD231" s="51" t="s">
        <v>153</v>
      </c>
      <c r="AE231" s="44">
        <f>ROUND((((X231*E231)/1800)*0.8),4)</f>
        <v>0.12720000000000001</v>
      </c>
      <c r="AF231" s="44">
        <f>ROUND(((Z231+AA231+AB231)*0.8),4)</f>
        <v>1.4938</v>
      </c>
    </row>
    <row r="232" spans="1:32" ht="12.95" customHeight="1" x14ac:dyDescent="0.25">
      <c r="A232" s="52"/>
      <c r="B232" s="53" t="s">
        <v>221</v>
      </c>
      <c r="C232" s="52"/>
      <c r="D232" s="52"/>
      <c r="E232" s="52"/>
      <c r="F232" s="63"/>
      <c r="G232" s="52"/>
      <c r="H232" s="52"/>
      <c r="I232" s="52"/>
      <c r="J232" s="52"/>
      <c r="K232" s="52"/>
      <c r="L232" s="56"/>
      <c r="M232" s="56"/>
      <c r="N232" s="52"/>
      <c r="O232" s="52"/>
      <c r="P232" s="52"/>
      <c r="Q232" s="52"/>
      <c r="R232" s="52"/>
      <c r="S232" s="57"/>
      <c r="T232" s="54"/>
      <c r="U232" s="54"/>
      <c r="V232" s="54"/>
      <c r="W232" s="54"/>
      <c r="X232" s="54"/>
      <c r="Y232" s="54"/>
      <c r="Z232" s="54"/>
      <c r="AA232" s="54"/>
      <c r="AB232" s="54"/>
      <c r="AC232" s="50" t="s">
        <v>201</v>
      </c>
      <c r="AD232" s="51" t="s">
        <v>202</v>
      </c>
      <c r="AE232" s="44">
        <f>ROUND((((X231*E231)/1800)*0.13),4)</f>
        <v>2.07E-2</v>
      </c>
      <c r="AF232" s="44">
        <f>ROUND(((Z231+AA231+AB231)*0.13),4)</f>
        <v>0.2427</v>
      </c>
    </row>
    <row r="233" spans="1:32" ht="12.95" customHeight="1" x14ac:dyDescent="0.25">
      <c r="A233" s="52"/>
      <c r="B233" s="88"/>
      <c r="C233" s="55"/>
      <c r="D233" s="55"/>
      <c r="E233" s="52"/>
      <c r="F233" s="63"/>
      <c r="G233" s="52"/>
      <c r="H233" s="52"/>
      <c r="I233" s="52"/>
      <c r="J233" s="52"/>
      <c r="K233" s="52"/>
      <c r="L233" s="59">
        <v>0.8</v>
      </c>
      <c r="M233" s="59">
        <v>0.98</v>
      </c>
      <c r="N233" s="52"/>
      <c r="O233" s="52"/>
      <c r="P233" s="52"/>
      <c r="Q233" s="52"/>
      <c r="R233" s="52"/>
      <c r="S233" s="60">
        <v>0.39</v>
      </c>
      <c r="T233" s="48">
        <f>ROUND((L233*I231+1.3*L233*K231+S233*H231),4)</f>
        <v>1239.24</v>
      </c>
      <c r="U233" s="48">
        <f>ROUND((M233*0.9*I231+1.3*M233*0.9*K231+S233*H231),4)</f>
        <v>1363.8635999999999</v>
      </c>
      <c r="V233" s="48">
        <f>ROUND((M233*I231+1.3*M233*K231+S233*H231),4)</f>
        <v>1512.8040000000001</v>
      </c>
      <c r="W233" s="48">
        <f>ROUND((L233*J231+1.3*L233*N231+S233*G231),4)</f>
        <v>23.94</v>
      </c>
      <c r="X233" s="48">
        <f>ROUND((M233*0.9*J231+1.3*M233*0.9*N231+S233*G231),4)</f>
        <v>26.154</v>
      </c>
      <c r="Y233" s="48">
        <f>ROUND((M233*J231+1.3*M233*N231+S233*G231),4)</f>
        <v>28.8</v>
      </c>
      <c r="Z233" s="49">
        <f>ROUND((P231*T233*F231*O231/1000000),4)</f>
        <v>0.1115</v>
      </c>
      <c r="AA233" s="49">
        <f>ROUND((Q231*U233*F231*O231/1000000),4)</f>
        <v>4.0899999999999999E-2</v>
      </c>
      <c r="AB233" s="49">
        <f>ROUND((R231*V233*F231*O231/1000000),4)</f>
        <v>0</v>
      </c>
      <c r="AC233" s="50" t="s">
        <v>203</v>
      </c>
      <c r="AD233" s="51" t="s">
        <v>204</v>
      </c>
      <c r="AE233" s="44">
        <f>ROUND((((X233*E231)/1800)),4)</f>
        <v>1.4500000000000001E-2</v>
      </c>
      <c r="AF233" s="44">
        <f>ROUND(((Z233+AA233+AB233)),5)</f>
        <v>0.15240000000000001</v>
      </c>
    </row>
    <row r="234" spans="1:32" ht="12.95" customHeight="1" x14ac:dyDescent="0.25">
      <c r="A234" s="52"/>
      <c r="B234" s="88"/>
      <c r="C234" s="52"/>
      <c r="D234" s="52"/>
      <c r="E234" s="52"/>
      <c r="F234" s="63"/>
      <c r="G234" s="52"/>
      <c r="H234" s="52"/>
      <c r="I234" s="52"/>
      <c r="J234" s="52"/>
      <c r="K234" s="52"/>
      <c r="L234" s="59">
        <v>1.79</v>
      </c>
      <c r="M234" s="59">
        <v>2.15</v>
      </c>
      <c r="N234" s="52"/>
      <c r="O234" s="52"/>
      <c r="P234" s="52"/>
      <c r="Q234" s="52"/>
      <c r="R234" s="52"/>
      <c r="S234" s="61">
        <v>1.24</v>
      </c>
      <c r="T234" s="48">
        <f>ROUND((L234*I231+1.3*L234*K231+S234*H231),4)</f>
        <v>2794.8420000000001</v>
      </c>
      <c r="U234" s="48">
        <f>ROUND((M234*0.9*I231+1.3*M234*0.9*K231+S234*H231),4)</f>
        <v>3015.2130000000002</v>
      </c>
      <c r="V234" s="48">
        <f>ROUND((M234*I231+1.3*M234*K231+S234*H231),4)</f>
        <v>3341.97</v>
      </c>
      <c r="W234" s="48">
        <f>ROUND((L234*J231+1.3*L234*N231+S234*G231),4)</f>
        <v>55.77</v>
      </c>
      <c r="X234" s="48">
        <f>ROUND((M234*0.9*J231+1.3*M234*0.9*N231+S234*G231),4)</f>
        <v>59.685000000000002</v>
      </c>
      <c r="Y234" s="48">
        <f>ROUND((M234*J231+1.3*N231+S234*G231),4)</f>
        <v>50.54</v>
      </c>
      <c r="Z234" s="49">
        <f>ROUND((P231*T234*F231*O231/1000000),4)</f>
        <v>0.2515</v>
      </c>
      <c r="AA234" s="49">
        <f>ROUND((Q231*U234*F231*O231/1000000),4)</f>
        <v>9.0499999999999997E-2</v>
      </c>
      <c r="AB234" s="49">
        <f>ROUND((R231*V234*F231*O231/1000000),4)</f>
        <v>0</v>
      </c>
      <c r="AC234" s="50" t="s">
        <v>205</v>
      </c>
      <c r="AD234" s="51" t="s">
        <v>206</v>
      </c>
      <c r="AE234" s="44">
        <f>ROUND((((X234*E231)/1800)),4)</f>
        <v>3.32E-2</v>
      </c>
      <c r="AF234" s="44">
        <f>ROUND(((Z234+AA234+AB234)),4)</f>
        <v>0.34200000000000003</v>
      </c>
    </row>
    <row r="235" spans="1:32" ht="12.95" customHeight="1" x14ac:dyDescent="0.25">
      <c r="A235" s="52"/>
      <c r="B235" s="53"/>
      <c r="C235" s="52"/>
      <c r="D235" s="52"/>
      <c r="E235" s="52"/>
      <c r="F235" s="63"/>
      <c r="G235" s="52"/>
      <c r="H235" s="52"/>
      <c r="I235" s="52"/>
      <c r="J235" s="52"/>
      <c r="K235" s="52"/>
      <c r="L235" s="59">
        <v>1.1299999999999999</v>
      </c>
      <c r="M235" s="59">
        <v>1.7</v>
      </c>
      <c r="N235" s="52"/>
      <c r="O235" s="52"/>
      <c r="P235" s="52"/>
      <c r="Q235" s="52"/>
      <c r="R235" s="52"/>
      <c r="S235" s="61">
        <v>0.26</v>
      </c>
      <c r="T235" s="48">
        <f>ROUND((L235*I231+1.3*L235*K231+S235*H231),4)</f>
        <v>1732.9739999999999</v>
      </c>
      <c r="U235" s="48">
        <f>ROUND((M235*0.9*I231+1.3*M235*0.9*K231+S235*H231),4)</f>
        <v>2340.8939999999998</v>
      </c>
      <c r="V235" s="48">
        <f>ROUND((M235*I231+1.3*M235*K231+S235*H231),4)</f>
        <v>2599.2600000000002</v>
      </c>
      <c r="W235" s="48">
        <f>ROUND((L235*J231+1.3*L235*N231+S235*G231),4)</f>
        <v>32.07</v>
      </c>
      <c r="X235" s="48">
        <f>ROUND((M235*0.9*J231+1.3*M235*0.9*N231+S235*G231),4)</f>
        <v>42.87</v>
      </c>
      <c r="Y235" s="48">
        <f>ROUND((M235*J231+1.3*M235*N231+S235*G231),4)</f>
        <v>47.46</v>
      </c>
      <c r="Z235" s="49">
        <f>ROUND((P231*T235*F231*O231/1000000),4)</f>
        <v>0.156</v>
      </c>
      <c r="AA235" s="49">
        <f>ROUND((Q231*U235*F231*O231/1000000),4)</f>
        <v>7.0199999999999999E-2</v>
      </c>
      <c r="AB235" s="49">
        <f>ROUND((R231*V235*F231*O231/1000000),4)</f>
        <v>0</v>
      </c>
      <c r="AC235" s="50" t="s">
        <v>250</v>
      </c>
      <c r="AD235" s="51" t="s">
        <v>208</v>
      </c>
      <c r="AE235" s="44">
        <f>ROUND((((X235*E231)/1800)),4)</f>
        <v>2.3800000000000002E-2</v>
      </c>
      <c r="AF235" s="44">
        <f>ROUND(((Z235+AA235+AB235)),4)</f>
        <v>0.22620000000000001</v>
      </c>
    </row>
    <row r="236" spans="1:32" ht="12.95" customHeight="1" x14ac:dyDescent="0.25">
      <c r="A236" s="52"/>
      <c r="B236" s="62"/>
      <c r="C236" s="56"/>
      <c r="D236" s="56"/>
      <c r="E236" s="56"/>
      <c r="F236" s="66"/>
      <c r="G236" s="56"/>
      <c r="H236" s="56"/>
      <c r="I236" s="56"/>
      <c r="J236" s="56"/>
      <c r="K236" s="56"/>
      <c r="L236" s="59">
        <v>5.3</v>
      </c>
      <c r="M236" s="59">
        <v>6.47</v>
      </c>
      <c r="N236" s="56"/>
      <c r="O236" s="56"/>
      <c r="P236" s="56"/>
      <c r="Q236" s="56"/>
      <c r="R236" s="56"/>
      <c r="S236" s="61">
        <v>9.92</v>
      </c>
      <c r="T236" s="48">
        <f>ROUND((L236*I231+1.3*L236*K231+S236*H231),4)</f>
        <v>8650.14</v>
      </c>
      <c r="U236" s="48">
        <f>ROUND((M236*0.9*I231+1.3*M236*0.9*K231+S236*H231),4)</f>
        <v>9444.9953999999998</v>
      </c>
      <c r="V236" s="48">
        <f>ROUND((M236*I231+1.3*M236*K231+S236*H231),4)</f>
        <v>10428.306</v>
      </c>
      <c r="W236" s="48">
        <f>ROUND((L236*J231+1.3*L236*N231+S236*G231),4)</f>
        <v>202.62</v>
      </c>
      <c r="X236" s="48">
        <f>ROUND((M236*0.9*J231+1.3*M236*0.9*N231+S236*G231),4)</f>
        <v>216.74100000000001</v>
      </c>
      <c r="Y236" s="48">
        <f>ROUND((M236*J231+1.3*M236*N231+S236*G231),4)</f>
        <v>234.21</v>
      </c>
      <c r="Z236" s="49">
        <f>ROUND((P231*T236*F231*O231/1000000),4)</f>
        <v>0.77849999999999997</v>
      </c>
      <c r="AA236" s="49">
        <f>ROUND((Q231*U236*F231*O231/1000000),4)</f>
        <v>0.2833</v>
      </c>
      <c r="AB236" s="49">
        <f>ROUND((R231*V236*F231*O231/1000000),4)</f>
        <v>0</v>
      </c>
      <c r="AC236" s="50" t="s">
        <v>170</v>
      </c>
      <c r="AD236" s="51" t="s">
        <v>162</v>
      </c>
      <c r="AE236" s="44">
        <f>ROUND((((X236*E231)/1800)),4)</f>
        <v>0.12039999999999999</v>
      </c>
      <c r="AF236" s="44">
        <f>ROUND(((Z236+AA236+AB236)),4)</f>
        <v>1.0618000000000001</v>
      </c>
    </row>
    <row r="237" spans="1:32" ht="12.95" customHeight="1" x14ac:dyDescent="0.25">
      <c r="A237" s="89"/>
      <c r="B237" s="46" t="s">
        <v>236</v>
      </c>
      <c r="C237" s="46">
        <v>6</v>
      </c>
      <c r="D237" s="45" t="s">
        <v>210</v>
      </c>
      <c r="E237" s="45">
        <v>1</v>
      </c>
      <c r="F237" s="45">
        <v>1</v>
      </c>
      <c r="G237" s="45">
        <v>6</v>
      </c>
      <c r="H237" s="45">
        <v>60</v>
      </c>
      <c r="I237" s="45">
        <f>(8-1-0.75*2)*60*F237-K237-8*0.12*60</f>
        <v>57.900000000000006</v>
      </c>
      <c r="J237" s="45">
        <v>14</v>
      </c>
      <c r="K237" s="45">
        <f>(8-1-0.75*2)*0.65*60*F237</f>
        <v>214.5</v>
      </c>
      <c r="L237" s="48">
        <v>6.47</v>
      </c>
      <c r="M237" s="48">
        <v>6.47</v>
      </c>
      <c r="N237" s="45">
        <v>10</v>
      </c>
      <c r="O237" s="45">
        <f>E237/F237</f>
        <v>1</v>
      </c>
      <c r="P237" s="45">
        <v>60</v>
      </c>
      <c r="Q237" s="45">
        <v>30</v>
      </c>
      <c r="R237" s="47">
        <v>0</v>
      </c>
      <c r="S237" s="47">
        <v>1.27</v>
      </c>
      <c r="T237" s="48">
        <f>ROUND((L237*I237+1.3*L237*K237+S237*H237),4)</f>
        <v>2254.9724999999999</v>
      </c>
      <c r="U237" s="48">
        <f>ROUND((M237*I237+1.3*M237*K237+S237*H237),4)</f>
        <v>2254.9724999999999</v>
      </c>
      <c r="V237" s="48">
        <f>ROUND((M237*I237+1.3*M237*K237+S237*H237),4)</f>
        <v>2254.9724999999999</v>
      </c>
      <c r="W237" s="48">
        <f>ROUND((L237*J237+1.3*L237*N237+S237*G237),4)</f>
        <v>182.31</v>
      </c>
      <c r="X237" s="48">
        <f>ROUND((M237*J237+1.3*M237*N237+S237*G237),4)</f>
        <v>182.31</v>
      </c>
      <c r="Y237" s="48">
        <f>ROUND((M237*J237+1.3*M237*N237+S237*G237),4)</f>
        <v>182.31</v>
      </c>
      <c r="Z237" s="49">
        <f>ROUND((P237*T237*F237*O237/1000000),4)</f>
        <v>0.1353</v>
      </c>
      <c r="AA237" s="49">
        <f>ROUND((Q237*U237*F237*O237/1000000),4)</f>
        <v>6.7599999999999993E-2</v>
      </c>
      <c r="AB237" s="49">
        <f>ROUND((R237*V237*F237*O237/1000000),4)</f>
        <v>0</v>
      </c>
      <c r="AC237" s="50" t="s">
        <v>200</v>
      </c>
      <c r="AD237" s="51" t="s">
        <v>153</v>
      </c>
      <c r="AE237" s="44">
        <f>ROUND((((X237*E237)/1800)*0.8),4)</f>
        <v>8.1000000000000003E-2</v>
      </c>
      <c r="AF237" s="44">
        <f>ROUND(((Z237+AA237+AB237)*0.8),4)</f>
        <v>0.1623</v>
      </c>
    </row>
    <row r="238" spans="1:32" ht="12.95" customHeight="1" x14ac:dyDescent="0.25">
      <c r="A238" s="89"/>
      <c r="B238" s="53" t="s">
        <v>237</v>
      </c>
      <c r="C238" s="52"/>
      <c r="D238" s="52"/>
      <c r="E238" s="52"/>
      <c r="F238" s="63"/>
      <c r="G238" s="52"/>
      <c r="H238" s="52"/>
      <c r="I238" s="52"/>
      <c r="J238" s="52"/>
      <c r="K238" s="52"/>
      <c r="L238" s="56"/>
      <c r="M238" s="56"/>
      <c r="N238" s="52"/>
      <c r="O238" s="52"/>
      <c r="P238" s="52"/>
      <c r="Q238" s="52"/>
      <c r="R238" s="52"/>
      <c r="S238" s="57"/>
      <c r="T238" s="54"/>
      <c r="U238" s="54"/>
      <c r="V238" s="54"/>
      <c r="W238" s="54"/>
      <c r="X238" s="54"/>
      <c r="Y238" s="54"/>
      <c r="Z238" s="54"/>
      <c r="AA238" s="54"/>
      <c r="AB238" s="54"/>
      <c r="AC238" s="50" t="s">
        <v>201</v>
      </c>
      <c r="AD238" s="51" t="s">
        <v>202</v>
      </c>
      <c r="AE238" s="44">
        <f>ROUND((((X237*E237)/1800)*0.13),4)</f>
        <v>1.32E-2</v>
      </c>
      <c r="AF238" s="44">
        <f>ROUND(((Z237+AA237+AB237)*0.13),4)</f>
        <v>2.64E-2</v>
      </c>
    </row>
    <row r="239" spans="1:32" ht="12.95" customHeight="1" x14ac:dyDescent="0.25">
      <c r="A239" s="89"/>
      <c r="B239" s="67"/>
      <c r="C239" s="55"/>
      <c r="D239" s="55"/>
      <c r="E239" s="52"/>
      <c r="F239" s="63"/>
      <c r="G239" s="52"/>
      <c r="H239" s="52"/>
      <c r="I239" s="52"/>
      <c r="J239" s="52"/>
      <c r="K239" s="52"/>
      <c r="L239" s="59">
        <v>0.51</v>
      </c>
      <c r="M239" s="59">
        <v>0.63</v>
      </c>
      <c r="N239" s="52"/>
      <c r="O239" s="52"/>
      <c r="P239" s="52"/>
      <c r="Q239" s="52"/>
      <c r="R239" s="52"/>
      <c r="S239" s="60">
        <v>0.25</v>
      </c>
      <c r="T239" s="48">
        <f>ROUND((L239*I237+1.3*L239*K237+S239*H237),4)</f>
        <v>186.74250000000001</v>
      </c>
      <c r="U239" s="48">
        <f>ROUND((M239*0.9*I237+1.3*M239*0.9*K237+S239*H237),4)</f>
        <v>205.93729999999999</v>
      </c>
      <c r="V239" s="48">
        <f>ROUND((M239*I237+1.3*M239*K237+S239*H237),4)</f>
        <v>227.1525</v>
      </c>
      <c r="W239" s="48">
        <f>ROUND((L239*J237+1.3*L239*N237+S239*G237),4)</f>
        <v>15.27</v>
      </c>
      <c r="X239" s="48">
        <f>ROUND((M239*0.9*J237+1.3*M239*0.9*N237+S239*G237),4)</f>
        <v>16.809000000000001</v>
      </c>
      <c r="Y239" s="48">
        <f>ROUND((M239*J237+1.3*M239*N237+S239*G237),4)</f>
        <v>18.510000000000002</v>
      </c>
      <c r="Z239" s="49">
        <f>ROUND((P237*T239*F237*O237/1000000),4)</f>
        <v>1.12E-2</v>
      </c>
      <c r="AA239" s="49">
        <f>ROUND((Q237*U239*F237*O237/1000000),4)</f>
        <v>6.1999999999999998E-3</v>
      </c>
      <c r="AB239" s="49">
        <f>ROUND((R237*V239*F237*O237/1000000),4)</f>
        <v>0</v>
      </c>
      <c r="AC239" s="50" t="s">
        <v>203</v>
      </c>
      <c r="AD239" s="51" t="s">
        <v>204</v>
      </c>
      <c r="AE239" s="44">
        <f>ROUND((((X239*E237)/1800)),4)</f>
        <v>9.2999999999999992E-3</v>
      </c>
      <c r="AF239" s="44">
        <f>ROUND(((Z239+AA239+AB239)),5)</f>
        <v>1.7399999999999999E-2</v>
      </c>
    </row>
    <row r="240" spans="1:32" ht="12.95" customHeight="1" x14ac:dyDescent="0.25">
      <c r="A240" s="89"/>
      <c r="B240" s="53"/>
      <c r="C240" s="52"/>
      <c r="D240" s="52"/>
      <c r="E240" s="52"/>
      <c r="F240" s="63"/>
      <c r="G240" s="52"/>
      <c r="H240" s="52"/>
      <c r="I240" s="52"/>
      <c r="J240" s="52"/>
      <c r="K240" s="52"/>
      <c r="L240" s="59">
        <v>1.1399999999999999</v>
      </c>
      <c r="M240" s="59">
        <v>1.37</v>
      </c>
      <c r="N240" s="52"/>
      <c r="O240" s="52"/>
      <c r="P240" s="52"/>
      <c r="Q240" s="52"/>
      <c r="R240" s="52"/>
      <c r="S240" s="61">
        <v>0.79</v>
      </c>
      <c r="T240" s="48">
        <f>ROUND((L240*I237+1.3*L240*K237+S240*H237),4)</f>
        <v>431.29500000000002</v>
      </c>
      <c r="U240" s="48">
        <f>ROUND((M240*0.9*I237+1.3*M240*0.9*K237+S240*H237),4)</f>
        <v>462.61279999999999</v>
      </c>
      <c r="V240" s="48">
        <f>ROUND((M240*I237+1.3*M240*K237+S240*H237),4)</f>
        <v>508.7475</v>
      </c>
      <c r="W240" s="48">
        <f>ROUND((L240*J237+1.3*L240*N237+S240*G237),4)</f>
        <v>35.520000000000003</v>
      </c>
      <c r="X240" s="48">
        <f>ROUND((M240*0.9*J237+1.3*M240*0.9*N237+S240*G237),4)</f>
        <v>38.030999999999999</v>
      </c>
      <c r="Y240" s="48">
        <f>ROUND((M240*J237+1.3*N237+S240*G237),4)</f>
        <v>36.92</v>
      </c>
      <c r="Z240" s="49">
        <f>ROUND((P237*T240*F237*O237/1000000),4)</f>
        <v>2.5899999999999999E-2</v>
      </c>
      <c r="AA240" s="49">
        <f>ROUND((Q237*U240*F237*O237/1000000),4)</f>
        <v>1.3899999999999999E-2</v>
      </c>
      <c r="AB240" s="49">
        <f>ROUND((R237*V240*F237*O237/1000000),4)</f>
        <v>0</v>
      </c>
      <c r="AC240" s="50" t="s">
        <v>205</v>
      </c>
      <c r="AD240" s="51" t="s">
        <v>206</v>
      </c>
      <c r="AE240" s="44">
        <f>ROUND((((X240*E237)/1800)),4)</f>
        <v>2.1100000000000001E-2</v>
      </c>
      <c r="AF240" s="44">
        <f>ROUND(((Z240+AA240+AB240)),4)</f>
        <v>3.9800000000000002E-2</v>
      </c>
    </row>
    <row r="241" spans="1:34" ht="12.95" customHeight="1" x14ac:dyDescent="0.25">
      <c r="A241" s="89"/>
      <c r="B241" s="53"/>
      <c r="C241" s="52"/>
      <c r="D241" s="52"/>
      <c r="E241" s="52"/>
      <c r="F241" s="63"/>
      <c r="G241" s="52"/>
      <c r="H241" s="52"/>
      <c r="I241" s="52"/>
      <c r="J241" s="52"/>
      <c r="K241" s="52"/>
      <c r="L241" s="59">
        <v>0.72</v>
      </c>
      <c r="M241" s="59">
        <v>1.08</v>
      </c>
      <c r="N241" s="52"/>
      <c r="O241" s="52"/>
      <c r="P241" s="52"/>
      <c r="Q241" s="52"/>
      <c r="R241" s="52"/>
      <c r="S241" s="61">
        <v>0.17</v>
      </c>
      <c r="T241" s="48">
        <f>ROUND((L241*I237+1.3*L241*K237+S241*H237),4)</f>
        <v>252.66</v>
      </c>
      <c r="U241" s="48">
        <f>ROUND((M241*0.9*I237+1.3*M241*0.9*K237+S241*H237),4)</f>
        <v>337.52100000000002</v>
      </c>
      <c r="V241" s="48">
        <f>ROUND((M241*I237+1.3*M241*K237+S241*H237),4)</f>
        <v>373.89</v>
      </c>
      <c r="W241" s="48">
        <f>ROUND((L241*J237+1.3*L241*N237+S241*G237),4)</f>
        <v>20.46</v>
      </c>
      <c r="X241" s="48">
        <f>ROUND((M241*0.9*J237+1.3*M241*0.9*N237+S241*G237),4)</f>
        <v>27.263999999999999</v>
      </c>
      <c r="Y241" s="48">
        <f>ROUND((M241*J237+1.3*M241*N237+S241*G237),4)</f>
        <v>30.18</v>
      </c>
      <c r="Z241" s="49">
        <f>ROUND((P237*T241*F237*O237/1000000),4)</f>
        <v>1.52E-2</v>
      </c>
      <c r="AA241" s="49">
        <f>ROUND((Q237*U241*F237*O237/1000000),4)</f>
        <v>1.01E-2</v>
      </c>
      <c r="AB241" s="49">
        <f>ROUND((R237*V241*F237*O237/1000000),4)</f>
        <v>0</v>
      </c>
      <c r="AC241" s="50" t="s">
        <v>250</v>
      </c>
      <c r="AD241" s="51" t="s">
        <v>208</v>
      </c>
      <c r="AE241" s="44">
        <f>ROUND((((X241*E237)/1800)),4)</f>
        <v>1.5100000000000001E-2</v>
      </c>
      <c r="AF241" s="44">
        <f>ROUND(((Z241+AA241+AB241)),4)</f>
        <v>2.53E-2</v>
      </c>
    </row>
    <row r="242" spans="1:34" ht="12.95" customHeight="1" x14ac:dyDescent="0.25">
      <c r="A242" s="89"/>
      <c r="B242" s="62"/>
      <c r="C242" s="56"/>
      <c r="D242" s="56"/>
      <c r="E242" s="56"/>
      <c r="F242" s="66"/>
      <c r="G242" s="56"/>
      <c r="H242" s="56"/>
      <c r="I242" s="56"/>
      <c r="J242" s="56"/>
      <c r="K242" s="56"/>
      <c r="L242" s="59">
        <v>3.37</v>
      </c>
      <c r="M242" s="59">
        <v>4.1100000000000003</v>
      </c>
      <c r="N242" s="56"/>
      <c r="O242" s="56"/>
      <c r="P242" s="56"/>
      <c r="Q242" s="56"/>
      <c r="R242" s="56"/>
      <c r="S242" s="61">
        <v>6.31</v>
      </c>
      <c r="T242" s="48">
        <f>ROUND((L242*I237+1.3*L242*K237+S242*H237),4)</f>
        <v>1513.4475</v>
      </c>
      <c r="U242" s="48">
        <f>ROUND((M242*0.9*I237+1.3*M242*0.9*K237+S242*H237),4)</f>
        <v>1624.2383</v>
      </c>
      <c r="V242" s="48">
        <f>ROUND((M242*I237+1.3*M242*K237+S242*H237),4)</f>
        <v>1762.6424999999999</v>
      </c>
      <c r="W242" s="48">
        <f>ROUND((L242*J237+1.3*L242*N237+S242*G237),4)</f>
        <v>128.85</v>
      </c>
      <c r="X242" s="48">
        <f>ROUND((M242*0.9*J237+1.3*M242*0.9*N237+S242*G237),4)</f>
        <v>137.733</v>
      </c>
      <c r="Y242" s="48">
        <f>ROUND((M242*J237+1.3*M242*N237+S242*G237),4)</f>
        <v>148.83000000000001</v>
      </c>
      <c r="Z242" s="49">
        <f>ROUND((P237*T242*F237*O237/1000000),4)</f>
        <v>9.0800000000000006E-2</v>
      </c>
      <c r="AA242" s="49">
        <f>ROUND((Q237*U242*F237*O237/1000000),4)</f>
        <v>4.87E-2</v>
      </c>
      <c r="AB242" s="49">
        <f>ROUND((R237*V242*F237*O237/1000000),4)</f>
        <v>0</v>
      </c>
      <c r="AC242" s="50" t="s">
        <v>170</v>
      </c>
      <c r="AD242" s="51" t="s">
        <v>162</v>
      </c>
      <c r="AE242" s="44">
        <f>ROUND((((X242*E237)/1800)),4)</f>
        <v>7.6499999999999999E-2</v>
      </c>
      <c r="AF242" s="44">
        <f>ROUND(((Z242+AA242+AB242)),4)</f>
        <v>0.13950000000000001</v>
      </c>
    </row>
    <row r="243" spans="1:34" ht="12.95" customHeight="1" x14ac:dyDescent="0.25">
      <c r="A243" s="52"/>
      <c r="B243" s="46" t="s">
        <v>238</v>
      </c>
      <c r="C243" s="46">
        <v>5</v>
      </c>
      <c r="D243" s="45" t="s">
        <v>209</v>
      </c>
      <c r="E243" s="45">
        <v>1</v>
      </c>
      <c r="F243" s="45">
        <v>1</v>
      </c>
      <c r="G243" s="45">
        <v>6</v>
      </c>
      <c r="H243" s="45">
        <v>60</v>
      </c>
      <c r="I243" s="45">
        <f>(8-1-0.75*2)*60*F243-K243-8*0.12*60</f>
        <v>57.900000000000006</v>
      </c>
      <c r="J243" s="45">
        <v>14</v>
      </c>
      <c r="K243" s="45">
        <f>(8-1-0.75*2)*0.65*60*F243</f>
        <v>214.5</v>
      </c>
      <c r="L243" s="48">
        <v>4.01</v>
      </c>
      <c r="M243" s="48">
        <v>4.01</v>
      </c>
      <c r="N243" s="45">
        <v>10</v>
      </c>
      <c r="O243" s="45">
        <f>E243/F243</f>
        <v>1</v>
      </c>
      <c r="P243" s="45">
        <v>15</v>
      </c>
      <c r="Q243" s="45">
        <v>15</v>
      </c>
      <c r="R243" s="47">
        <v>0</v>
      </c>
      <c r="S243" s="47">
        <v>0.78</v>
      </c>
      <c r="T243" s="48">
        <f>ROUND((L243*I243+1.3*L243*K243+S243*H243),4)</f>
        <v>1397.1675</v>
      </c>
      <c r="U243" s="48">
        <f>ROUND((M243*I243+1.3*M243*K243+S243*H243),4)</f>
        <v>1397.1675</v>
      </c>
      <c r="V243" s="48">
        <f>ROUND((M243*I243+1.3*M243*K243+S243*H243),4)</f>
        <v>1397.1675</v>
      </c>
      <c r="W243" s="48">
        <f>ROUND((L243*J243+1.3*L243*N243+S243*G243),4)</f>
        <v>112.95</v>
      </c>
      <c r="X243" s="48">
        <f>ROUND((M243*J243+1.3*M243*N243+S243*G243),4)</f>
        <v>112.95</v>
      </c>
      <c r="Y243" s="48">
        <f>ROUND((M243*J243+1.3*M243*N243+S243*G243),4)</f>
        <v>112.95</v>
      </c>
      <c r="Z243" s="49">
        <f>ROUND((P243*T243*F243*O243/1000000),4)</f>
        <v>2.1000000000000001E-2</v>
      </c>
      <c r="AA243" s="49">
        <f>ROUND((Q243*U243*F243*O243/1000000),4)</f>
        <v>2.1000000000000001E-2</v>
      </c>
      <c r="AB243" s="49">
        <f>ROUND((R243*V243*F243*O243/1000000),4)</f>
        <v>0</v>
      </c>
      <c r="AC243" s="50" t="s">
        <v>200</v>
      </c>
      <c r="AD243" s="51" t="s">
        <v>153</v>
      </c>
      <c r="AE243" s="44">
        <f>ROUND((((X243*E243)/1800)*0.8),4)</f>
        <v>5.0200000000000002E-2</v>
      </c>
      <c r="AF243" s="44">
        <f>ROUND(((Z243+AA243+AB243)*0.8),4)</f>
        <v>3.3599999999999998E-2</v>
      </c>
      <c r="AG243" s="88"/>
    </row>
    <row r="244" spans="1:34" ht="12.95" customHeight="1" x14ac:dyDescent="0.25">
      <c r="A244" s="52"/>
      <c r="B244" s="73" t="s">
        <v>239</v>
      </c>
      <c r="C244" s="53"/>
      <c r="D244" s="52"/>
      <c r="E244" s="52"/>
      <c r="F244" s="63"/>
      <c r="G244" s="52"/>
      <c r="H244" s="52"/>
      <c r="I244" s="52"/>
      <c r="J244" s="52"/>
      <c r="K244" s="52"/>
      <c r="L244" s="56"/>
      <c r="M244" s="56"/>
      <c r="N244" s="52"/>
      <c r="O244" s="52"/>
      <c r="P244" s="52"/>
      <c r="Q244" s="52"/>
      <c r="R244" s="52"/>
      <c r="S244" s="57"/>
      <c r="T244" s="54"/>
      <c r="U244" s="54"/>
      <c r="V244" s="54"/>
      <c r="W244" s="54"/>
      <c r="X244" s="54"/>
      <c r="Y244" s="54"/>
      <c r="Z244" s="54"/>
      <c r="AA244" s="54"/>
      <c r="AB244" s="54"/>
      <c r="AC244" s="50" t="s">
        <v>201</v>
      </c>
      <c r="AD244" s="51" t="s">
        <v>202</v>
      </c>
      <c r="AE244" s="44">
        <f>ROUND((((X243*E243)/1800)*0.13),4)</f>
        <v>8.2000000000000007E-3</v>
      </c>
      <c r="AF244" s="44">
        <f>ROUND(((Z243+AA243+AB243)*0.13),4)</f>
        <v>5.4999999999999997E-3</v>
      </c>
      <c r="AG244" s="88"/>
    </row>
    <row r="245" spans="1:34" ht="12.95" customHeight="1" x14ac:dyDescent="0.25">
      <c r="A245" s="52"/>
      <c r="B245" s="53"/>
      <c r="C245" s="58"/>
      <c r="D245" s="55"/>
      <c r="E245" s="52"/>
      <c r="F245" s="63"/>
      <c r="G245" s="52"/>
      <c r="H245" s="52"/>
      <c r="I245" s="52"/>
      <c r="J245" s="52"/>
      <c r="K245" s="52"/>
      <c r="L245" s="59">
        <v>0.31</v>
      </c>
      <c r="M245" s="59">
        <v>0.38</v>
      </c>
      <c r="N245" s="52"/>
      <c r="O245" s="52"/>
      <c r="P245" s="52"/>
      <c r="Q245" s="52"/>
      <c r="R245" s="52"/>
      <c r="S245" s="60">
        <v>0.16</v>
      </c>
      <c r="T245" s="48">
        <f>ROUND((L245*I243+1.3*L245*K243+S245*H243),4)</f>
        <v>113.99250000000001</v>
      </c>
      <c r="U245" s="48">
        <f>ROUND((M245*0.9*I243+1.3*M245*0.9*K243+S245*H243),4)</f>
        <v>124.7685</v>
      </c>
      <c r="V245" s="48">
        <f>ROUND((M245*I243+1.3*M245*K243+S245*H243),4)</f>
        <v>137.565</v>
      </c>
      <c r="W245" s="48">
        <f>ROUND((L245*J243+1.3*L245*N243+S245*G243),4)</f>
        <v>9.33</v>
      </c>
      <c r="X245" s="48">
        <f>ROUND((M245*0.9*J243+1.3*M245*0.9*N243+S245*G243),4)</f>
        <v>10.194000000000001</v>
      </c>
      <c r="Y245" s="48">
        <f>ROUND((M245*J243+1.3*M245*N243+S245*G243),4)</f>
        <v>11.22</v>
      </c>
      <c r="Z245" s="49">
        <f>ROUND((P243*T245*F243*O243/1000000),4)</f>
        <v>1.6999999999999999E-3</v>
      </c>
      <c r="AA245" s="49">
        <f>ROUND((Q243*U245*F243*O243/1000000),4)</f>
        <v>1.9E-3</v>
      </c>
      <c r="AB245" s="49">
        <f>ROUND((R243*V245*F243*O243/1000000),4)</f>
        <v>0</v>
      </c>
      <c r="AC245" s="50" t="s">
        <v>203</v>
      </c>
      <c r="AD245" s="51" t="s">
        <v>204</v>
      </c>
      <c r="AE245" s="44">
        <f>ROUND((((X245*E243)/1800)),4)</f>
        <v>5.7000000000000002E-3</v>
      </c>
      <c r="AF245" s="44">
        <f>ROUND(((Z245+AA245+AB245)),5)</f>
        <v>3.5999999999999999E-3</v>
      </c>
      <c r="AG245" s="88"/>
    </row>
    <row r="246" spans="1:34" ht="12.95" customHeight="1" x14ac:dyDescent="0.25">
      <c r="A246" s="52"/>
      <c r="B246" s="53"/>
      <c r="C246" s="53"/>
      <c r="D246" s="52"/>
      <c r="E246" s="52"/>
      <c r="F246" s="63"/>
      <c r="G246" s="52"/>
      <c r="H246" s="52"/>
      <c r="I246" s="52"/>
      <c r="J246" s="52"/>
      <c r="K246" s="52"/>
      <c r="L246" s="59">
        <v>0.71</v>
      </c>
      <c r="M246" s="59">
        <v>0.85</v>
      </c>
      <c r="N246" s="52"/>
      <c r="O246" s="52"/>
      <c r="P246" s="52"/>
      <c r="Q246" s="52"/>
      <c r="R246" s="52"/>
      <c r="S246" s="61">
        <v>0.49</v>
      </c>
      <c r="T246" s="48">
        <f>ROUND((L246*I243+1.3*L246*K243+S246*H243),4)</f>
        <v>268.49250000000001</v>
      </c>
      <c r="U246" s="48">
        <f>ROUND((M246*0.9*I243+1.3*M246*0.9*K243+S246*H243),4)</f>
        <v>287.0138</v>
      </c>
      <c r="V246" s="48">
        <f>ROUND((M246*I243+1.3*M246*K243+S246*H243),4)</f>
        <v>315.63749999999999</v>
      </c>
      <c r="W246" s="48">
        <f>ROUND((L246*J243+1.3*L246*N243+S246*G243),4)</f>
        <v>22.11</v>
      </c>
      <c r="X246" s="48">
        <f>ROUND((M246*0.9*J243+1.3*M246*0.9*N243+S246*G243),4)</f>
        <v>23.594999999999999</v>
      </c>
      <c r="Y246" s="48">
        <f>ROUND((M246*J243+1.3*N243+S246*G243),4)</f>
        <v>27.84</v>
      </c>
      <c r="Z246" s="49">
        <f>ROUND((P243*T246*F243*O243/1000000),4)</f>
        <v>4.0000000000000001E-3</v>
      </c>
      <c r="AA246" s="49">
        <f>ROUND((Q243*U246*F243*O243/1000000),4)</f>
        <v>4.3E-3</v>
      </c>
      <c r="AB246" s="49">
        <f>ROUND((R243*V246*F243*O243/1000000),4)</f>
        <v>0</v>
      </c>
      <c r="AC246" s="50" t="s">
        <v>205</v>
      </c>
      <c r="AD246" s="51" t="s">
        <v>206</v>
      </c>
      <c r="AE246" s="44">
        <f>ROUND((((X246*E243)/1800)),4)</f>
        <v>1.3100000000000001E-2</v>
      </c>
      <c r="AF246" s="44">
        <f>ROUND(((Z246+AA246+AB246)),4)</f>
        <v>8.3000000000000001E-3</v>
      </c>
      <c r="AG246" s="88"/>
    </row>
    <row r="247" spans="1:34" ht="12.95" customHeight="1" x14ac:dyDescent="0.25">
      <c r="A247" s="52"/>
      <c r="B247" s="53"/>
      <c r="C247" s="53"/>
      <c r="D247" s="52"/>
      <c r="E247" s="52"/>
      <c r="F247" s="63"/>
      <c r="G247" s="52"/>
      <c r="H247" s="52"/>
      <c r="I247" s="52"/>
      <c r="J247" s="52"/>
      <c r="K247" s="52"/>
      <c r="L247" s="59">
        <v>0.45</v>
      </c>
      <c r="M247" s="59">
        <v>0.67</v>
      </c>
      <c r="N247" s="52"/>
      <c r="O247" s="52"/>
      <c r="P247" s="52"/>
      <c r="Q247" s="52"/>
      <c r="R247" s="52"/>
      <c r="S247" s="61">
        <v>0.1</v>
      </c>
      <c r="T247" s="48">
        <f>ROUND((L247*I243+1.3*L247*K243+S247*H243),4)</f>
        <v>157.53749999999999</v>
      </c>
      <c r="U247" s="48">
        <f>ROUND((M247*0.9*I243+1.3*M247*0.9*K243+S247*H243),4)</f>
        <v>209.06030000000001</v>
      </c>
      <c r="V247" s="48">
        <f>ROUND((M247*I243+1.3*M247*K243+S247*H243),4)</f>
        <v>231.6225</v>
      </c>
      <c r="W247" s="48">
        <f>ROUND((L247*J243+1.3*L247*N243+S247*G243),4)</f>
        <v>12.75</v>
      </c>
      <c r="X247" s="48">
        <f>ROUND((M247*0.9*J243+1.3*M247*0.9*N243+S247*G243),4)</f>
        <v>16.881</v>
      </c>
      <c r="Y247" s="48">
        <f>ROUND((M247*J243+1.3*M247*N243+S247*G243),4)</f>
        <v>18.690000000000001</v>
      </c>
      <c r="Z247" s="49">
        <f>ROUND((P243*T247*F243*O243/1000000),4)</f>
        <v>2.3999999999999998E-3</v>
      </c>
      <c r="AA247" s="49">
        <f>ROUND((Q243*U247*F243*O243/1000000),4)</f>
        <v>3.0999999999999999E-3</v>
      </c>
      <c r="AB247" s="49">
        <f>ROUND((R243*V247*F243*O243/1000000),4)</f>
        <v>0</v>
      </c>
      <c r="AC247" s="50" t="s">
        <v>250</v>
      </c>
      <c r="AD247" s="51" t="s">
        <v>208</v>
      </c>
      <c r="AE247" s="44">
        <f>ROUND((((X247*E243)/1800)),4)</f>
        <v>9.4000000000000004E-3</v>
      </c>
      <c r="AF247" s="44">
        <f>ROUND(((Z247+AA247+AB247)),4)</f>
        <v>5.4999999999999997E-3</v>
      </c>
      <c r="AG247" s="88"/>
    </row>
    <row r="248" spans="1:34" ht="12.95" customHeight="1" x14ac:dyDescent="0.25">
      <c r="A248" s="52"/>
      <c r="B248" s="62"/>
      <c r="C248" s="62"/>
      <c r="D248" s="56"/>
      <c r="E248" s="56"/>
      <c r="F248" s="66"/>
      <c r="G248" s="56"/>
      <c r="H248" s="56"/>
      <c r="I248" s="56"/>
      <c r="J248" s="56"/>
      <c r="K248" s="56"/>
      <c r="L248" s="59">
        <v>2.09</v>
      </c>
      <c r="M248" s="59">
        <v>2.5499999999999998</v>
      </c>
      <c r="N248" s="56"/>
      <c r="O248" s="56"/>
      <c r="P248" s="56"/>
      <c r="Q248" s="56"/>
      <c r="R248" s="56"/>
      <c r="S248" s="61">
        <v>3.91</v>
      </c>
      <c r="T248" s="48">
        <f>ROUND((L248*I243+1.3*L248*K243+S248*H243),4)</f>
        <v>938.40750000000003</v>
      </c>
      <c r="U248" s="48">
        <f>ROUND((M248*0.9*I243+1.3*M248*0.9*K243+S248*H243),4)</f>
        <v>1007.4413</v>
      </c>
      <c r="V248" s="48">
        <f>ROUND((M248*I243+1.3*M248*K243+S248*H243),4)</f>
        <v>1093.3125</v>
      </c>
      <c r="W248" s="48">
        <f>ROUND((L248*J243+1.3*L248*N243+S248*G243),4)</f>
        <v>79.89</v>
      </c>
      <c r="X248" s="48">
        <f>ROUND((M248*0.9*J243+1.3*M248*0.9*N243+S248*G243),4)</f>
        <v>85.424999999999997</v>
      </c>
      <c r="Y248" s="48">
        <f>ROUND((M248*J243+1.3*M248*N243+S248*G243),4)</f>
        <v>92.31</v>
      </c>
      <c r="Z248" s="49">
        <f>ROUND((P243*T248*F243*O243/1000000),4)</f>
        <v>1.41E-2</v>
      </c>
      <c r="AA248" s="49">
        <f>ROUND((Q243*U248*F243*O243/1000000),4)</f>
        <v>1.5100000000000001E-2</v>
      </c>
      <c r="AB248" s="49">
        <f>ROUND((R243*V248*F243*O243/1000000),4)</f>
        <v>0</v>
      </c>
      <c r="AC248" s="50" t="s">
        <v>170</v>
      </c>
      <c r="AD248" s="51" t="s">
        <v>162</v>
      </c>
      <c r="AE248" s="44">
        <f>ROUND((((X248*E243)/1800)),4)</f>
        <v>4.7500000000000001E-2</v>
      </c>
      <c r="AF248" s="44">
        <f>ROUND(((Z248+AA248+AB248)),4)</f>
        <v>2.92E-2</v>
      </c>
      <c r="AG248" s="88"/>
    </row>
    <row r="249" spans="1:34" ht="12.95" customHeight="1" x14ac:dyDescent="0.25">
      <c r="A249" s="89"/>
      <c r="B249" s="46" t="s">
        <v>240</v>
      </c>
      <c r="C249" s="46">
        <v>6</v>
      </c>
      <c r="D249" s="45" t="s">
        <v>210</v>
      </c>
      <c r="E249" s="45">
        <v>1</v>
      </c>
      <c r="F249" s="45">
        <v>1</v>
      </c>
      <c r="G249" s="45">
        <v>6</v>
      </c>
      <c r="H249" s="45">
        <v>60</v>
      </c>
      <c r="I249" s="45">
        <f>(8-1-0.75*2)*60*F249-K249-8*0.12*60</f>
        <v>57.900000000000006</v>
      </c>
      <c r="J249" s="45">
        <v>14</v>
      </c>
      <c r="K249" s="45">
        <f>(8-1-0.75*2)*0.65*60*F249</f>
        <v>214.5</v>
      </c>
      <c r="L249" s="48">
        <v>6.47</v>
      </c>
      <c r="M249" s="48">
        <v>6.47</v>
      </c>
      <c r="N249" s="45">
        <v>10</v>
      </c>
      <c r="O249" s="45">
        <f>E249/F249</f>
        <v>1</v>
      </c>
      <c r="P249" s="45">
        <v>30</v>
      </c>
      <c r="Q249" s="45">
        <v>30</v>
      </c>
      <c r="R249" s="47">
        <v>0</v>
      </c>
      <c r="S249" s="47">
        <v>1.27</v>
      </c>
      <c r="T249" s="48">
        <f>ROUND((L249*I249+1.3*L249*K249+S249*H249),4)</f>
        <v>2254.9724999999999</v>
      </c>
      <c r="U249" s="48">
        <f>ROUND((M249*I249+1.3*M249*K249+S249*H249),4)</f>
        <v>2254.9724999999999</v>
      </c>
      <c r="V249" s="48">
        <f>ROUND((M249*I249+1.3*M249*K249+S249*H249),4)</f>
        <v>2254.9724999999999</v>
      </c>
      <c r="W249" s="48">
        <f>ROUND((L249*J249+1.3*L249*N249+S249*G249),4)</f>
        <v>182.31</v>
      </c>
      <c r="X249" s="48">
        <f>ROUND((M249*J249+1.3*M249*N249+S249*G249),4)</f>
        <v>182.31</v>
      </c>
      <c r="Y249" s="48">
        <f>ROUND((M249*J249+1.3*M249*N249+S249*G249),4)</f>
        <v>182.31</v>
      </c>
      <c r="Z249" s="49">
        <f>ROUND((P249*T249*F249*O249/1000000),4)</f>
        <v>6.7599999999999993E-2</v>
      </c>
      <c r="AA249" s="49">
        <f>ROUND((Q249*U249*F249*O249/1000000),4)</f>
        <v>6.7599999999999993E-2</v>
      </c>
      <c r="AB249" s="49">
        <f>ROUND((R249*V249*F249*O249/1000000),4)</f>
        <v>0</v>
      </c>
      <c r="AC249" s="50" t="s">
        <v>200</v>
      </c>
      <c r="AD249" s="51" t="s">
        <v>153</v>
      </c>
      <c r="AE249" s="44">
        <f>ROUND((((X249*E249)/1800)*0.8),4)</f>
        <v>8.1000000000000003E-2</v>
      </c>
      <c r="AF249" s="44">
        <f>ROUND(((Z249+AA249+AB249)*0.8),4)</f>
        <v>0.1082</v>
      </c>
      <c r="AG249" s="88"/>
    </row>
    <row r="250" spans="1:34" ht="12.95" customHeight="1" x14ac:dyDescent="0.25">
      <c r="A250" s="89"/>
      <c r="B250" s="53" t="s">
        <v>241</v>
      </c>
      <c r="C250" s="52"/>
      <c r="D250" s="52"/>
      <c r="E250" s="52"/>
      <c r="F250" s="63"/>
      <c r="G250" s="52"/>
      <c r="H250" s="52"/>
      <c r="I250" s="52"/>
      <c r="J250" s="52"/>
      <c r="K250" s="52"/>
      <c r="L250" s="56"/>
      <c r="M250" s="56"/>
      <c r="N250" s="52"/>
      <c r="O250" s="52"/>
      <c r="P250" s="52"/>
      <c r="Q250" s="52"/>
      <c r="R250" s="52"/>
      <c r="S250" s="57"/>
      <c r="T250" s="54"/>
      <c r="U250" s="54"/>
      <c r="V250" s="54"/>
      <c r="W250" s="54"/>
      <c r="X250" s="54"/>
      <c r="Y250" s="54"/>
      <c r="Z250" s="54"/>
      <c r="AA250" s="54"/>
      <c r="AB250" s="54"/>
      <c r="AC250" s="50" t="s">
        <v>201</v>
      </c>
      <c r="AD250" s="51" t="s">
        <v>202</v>
      </c>
      <c r="AE250" s="44">
        <f>ROUND((((X249*E249)/1800)*0.13),4)</f>
        <v>1.32E-2</v>
      </c>
      <c r="AF250" s="44">
        <f>ROUND(((Z249+AA249+AB249)*0.13),4)</f>
        <v>1.7600000000000001E-2</v>
      </c>
      <c r="AG250" s="88"/>
    </row>
    <row r="251" spans="1:34" ht="12.95" customHeight="1" x14ac:dyDescent="0.25">
      <c r="A251" s="89"/>
      <c r="B251" s="67"/>
      <c r="C251" s="55"/>
      <c r="D251" s="55"/>
      <c r="E251" s="52"/>
      <c r="F251" s="63"/>
      <c r="G251" s="52"/>
      <c r="H251" s="52"/>
      <c r="I251" s="52"/>
      <c r="J251" s="52"/>
      <c r="K251" s="52"/>
      <c r="L251" s="59">
        <v>0.51</v>
      </c>
      <c r="M251" s="59">
        <v>0.63</v>
      </c>
      <c r="N251" s="52"/>
      <c r="O251" s="52"/>
      <c r="P251" s="52"/>
      <c r="Q251" s="52"/>
      <c r="R251" s="52"/>
      <c r="S251" s="60">
        <v>0.25</v>
      </c>
      <c r="T251" s="48">
        <f>ROUND((L251*I249+1.3*L251*K249+S251*H249),4)</f>
        <v>186.74250000000001</v>
      </c>
      <c r="U251" s="48">
        <f>ROUND((M251*0.9*I249+1.3*M251*0.9*K249+S251*H249),4)</f>
        <v>205.93729999999999</v>
      </c>
      <c r="V251" s="48">
        <f>ROUND((M251*I249+1.3*M251*K249+S251*H249),4)</f>
        <v>227.1525</v>
      </c>
      <c r="W251" s="48">
        <f>ROUND((L251*J249+1.3*L251*N249+S251*G249),4)</f>
        <v>15.27</v>
      </c>
      <c r="X251" s="48">
        <f>ROUND((M251*0.9*J249+1.3*M251*0.9*N249+S251*G249),4)</f>
        <v>16.809000000000001</v>
      </c>
      <c r="Y251" s="48">
        <f>ROUND((M251*J249+1.3*M251*N249+S251*G249),4)</f>
        <v>18.510000000000002</v>
      </c>
      <c r="Z251" s="49">
        <f>ROUND((P249*T251*F249*O249/1000000),4)</f>
        <v>5.5999999999999999E-3</v>
      </c>
      <c r="AA251" s="49">
        <f>ROUND((Q249*U251*F249*O249/1000000),4)</f>
        <v>6.1999999999999998E-3</v>
      </c>
      <c r="AB251" s="49">
        <f>ROUND((R249*V251*F249*O249/1000000),4)</f>
        <v>0</v>
      </c>
      <c r="AC251" s="50" t="s">
        <v>203</v>
      </c>
      <c r="AD251" s="51" t="s">
        <v>204</v>
      </c>
      <c r="AE251" s="44">
        <f>ROUND((((X251*E249)/1800)),4)</f>
        <v>9.2999999999999992E-3</v>
      </c>
      <c r="AF251" s="44">
        <f>ROUND(((Z251+AA251+AB251)),5)</f>
        <v>1.18E-2</v>
      </c>
      <c r="AG251" s="88"/>
    </row>
    <row r="252" spans="1:34" ht="12.95" customHeight="1" x14ac:dyDescent="0.25">
      <c r="A252" s="89"/>
      <c r="B252" s="53"/>
      <c r="C252" s="52"/>
      <c r="D252" s="52"/>
      <c r="E252" s="52"/>
      <c r="F252" s="63"/>
      <c r="G252" s="52"/>
      <c r="H252" s="52"/>
      <c r="I252" s="52"/>
      <c r="J252" s="52"/>
      <c r="K252" s="52"/>
      <c r="L252" s="59">
        <v>1.1399999999999999</v>
      </c>
      <c r="M252" s="59">
        <v>1.37</v>
      </c>
      <c r="N252" s="52"/>
      <c r="O252" s="52"/>
      <c r="P252" s="52"/>
      <c r="Q252" s="52"/>
      <c r="R252" s="52"/>
      <c r="S252" s="61">
        <v>0.79</v>
      </c>
      <c r="T252" s="48">
        <f>ROUND((L252*I249+1.3*L252*K249+S252*H249),4)</f>
        <v>431.29500000000002</v>
      </c>
      <c r="U252" s="48">
        <f>ROUND((M252*0.9*I249+1.3*M252*0.9*K249+S252*H249),4)</f>
        <v>462.61279999999999</v>
      </c>
      <c r="V252" s="48">
        <f>ROUND((M252*I249+1.3*M252*K249+S252*H249),4)</f>
        <v>508.7475</v>
      </c>
      <c r="W252" s="48">
        <f>ROUND((L252*J249+1.3*L252*N249+S252*G249),4)</f>
        <v>35.520000000000003</v>
      </c>
      <c r="X252" s="48">
        <f>ROUND((M252*0.9*J249+1.3*M252*0.9*N249+S252*G249),4)</f>
        <v>38.030999999999999</v>
      </c>
      <c r="Y252" s="48">
        <f>ROUND((M252*J249+1.3*N249+S252*G249),4)</f>
        <v>36.92</v>
      </c>
      <c r="Z252" s="49">
        <f>ROUND((P249*T252*F249*O249/1000000),4)</f>
        <v>1.29E-2</v>
      </c>
      <c r="AA252" s="49">
        <f>ROUND((Q249*U252*F249*O249/1000000),4)</f>
        <v>1.3899999999999999E-2</v>
      </c>
      <c r="AB252" s="49">
        <f>ROUND((R249*V252*F249*O249/1000000),4)</f>
        <v>0</v>
      </c>
      <c r="AC252" s="50" t="s">
        <v>205</v>
      </c>
      <c r="AD252" s="51" t="s">
        <v>206</v>
      </c>
      <c r="AE252" s="44">
        <f>ROUND((((X252*E249)/1800)),4)</f>
        <v>2.1100000000000001E-2</v>
      </c>
      <c r="AF252" s="44">
        <f>ROUND(((Z252+AA252+AB252)),4)</f>
        <v>2.6800000000000001E-2</v>
      </c>
      <c r="AG252" s="88"/>
    </row>
    <row r="253" spans="1:34" ht="12.95" customHeight="1" x14ac:dyDescent="0.25">
      <c r="A253" s="89"/>
      <c r="B253" s="53"/>
      <c r="C253" s="52"/>
      <c r="D253" s="52"/>
      <c r="E253" s="52"/>
      <c r="F253" s="63"/>
      <c r="G253" s="52"/>
      <c r="H253" s="52"/>
      <c r="I253" s="52"/>
      <c r="J253" s="52"/>
      <c r="K253" s="52"/>
      <c r="L253" s="59">
        <v>0.72</v>
      </c>
      <c r="M253" s="59">
        <v>1.08</v>
      </c>
      <c r="N253" s="52"/>
      <c r="O253" s="52"/>
      <c r="P253" s="52"/>
      <c r="Q253" s="52"/>
      <c r="R253" s="52"/>
      <c r="S253" s="61">
        <v>0.17</v>
      </c>
      <c r="T253" s="48">
        <f>ROUND((L253*I249+1.3*L253*K249+S253*H249),4)</f>
        <v>252.66</v>
      </c>
      <c r="U253" s="48">
        <f>ROUND((M253*0.9*I249+1.3*M253*0.9*K249+S253*H249),4)</f>
        <v>337.52100000000002</v>
      </c>
      <c r="V253" s="48">
        <f>ROUND((M253*I249+1.3*M253*K249+S253*H249),4)</f>
        <v>373.89</v>
      </c>
      <c r="W253" s="48">
        <f>ROUND((L253*J249+1.3*L253*N249+S253*G249),4)</f>
        <v>20.46</v>
      </c>
      <c r="X253" s="48">
        <f>ROUND((M253*0.9*J249+1.3*M253*0.9*N249+S253*G249),4)</f>
        <v>27.263999999999999</v>
      </c>
      <c r="Y253" s="48">
        <f>ROUND((M253*J249+1.3*M253*N249+S253*G249),4)</f>
        <v>30.18</v>
      </c>
      <c r="Z253" s="49">
        <f>ROUND((P249*T253*F249*O249/1000000),4)</f>
        <v>7.6E-3</v>
      </c>
      <c r="AA253" s="49">
        <f>ROUND((Q249*U253*F249*O249/1000000),4)</f>
        <v>1.01E-2</v>
      </c>
      <c r="AB253" s="49">
        <f>ROUND((R249*V253*F249*O249/1000000),4)</f>
        <v>0</v>
      </c>
      <c r="AC253" s="50" t="s">
        <v>250</v>
      </c>
      <c r="AD253" s="51" t="s">
        <v>208</v>
      </c>
      <c r="AE253" s="44">
        <f>ROUND((((X253*E249)/1800)),4)</f>
        <v>1.5100000000000001E-2</v>
      </c>
      <c r="AF253" s="44">
        <f>ROUND(((Z253+AA253+AB253)),4)</f>
        <v>1.77E-2</v>
      </c>
      <c r="AG253" s="88"/>
    </row>
    <row r="254" spans="1:34" ht="12.95" customHeight="1" x14ac:dyDescent="0.25">
      <c r="A254" s="89"/>
      <c r="B254" s="62"/>
      <c r="C254" s="56"/>
      <c r="D254" s="56"/>
      <c r="E254" s="56"/>
      <c r="F254" s="66"/>
      <c r="G254" s="56"/>
      <c r="H254" s="56"/>
      <c r="I254" s="56"/>
      <c r="J254" s="56"/>
      <c r="K254" s="56"/>
      <c r="L254" s="59">
        <v>3.37</v>
      </c>
      <c r="M254" s="59">
        <v>4.1100000000000003</v>
      </c>
      <c r="N254" s="56"/>
      <c r="O254" s="56"/>
      <c r="P254" s="56"/>
      <c r="Q254" s="56"/>
      <c r="R254" s="56"/>
      <c r="S254" s="61">
        <v>6.31</v>
      </c>
      <c r="T254" s="48">
        <f>ROUND((L254*I249+1.3*L254*K249+S254*H249),4)</f>
        <v>1513.4475</v>
      </c>
      <c r="U254" s="48">
        <f>ROUND((M254*0.9*I249+1.3*M254*0.9*K249+S254*H249),4)</f>
        <v>1624.2383</v>
      </c>
      <c r="V254" s="48">
        <f>ROUND((M254*I249+1.3*M254*K249+S254*H249),4)</f>
        <v>1762.6424999999999</v>
      </c>
      <c r="W254" s="48">
        <f>ROUND((L254*J249+1.3*L254*N249+S254*G249),4)</f>
        <v>128.85</v>
      </c>
      <c r="X254" s="48">
        <f>ROUND((M254*0.9*J249+1.3*M254*0.9*N249+S254*G249),4)</f>
        <v>137.733</v>
      </c>
      <c r="Y254" s="48">
        <f>ROUND((M254*J249+1.3*M254*N249+S254*G249),4)</f>
        <v>148.83000000000001</v>
      </c>
      <c r="Z254" s="49">
        <f>ROUND((P249*T254*F249*O249/1000000),4)</f>
        <v>4.5400000000000003E-2</v>
      </c>
      <c r="AA254" s="49">
        <f>ROUND((Q249*U254*F249*O249/1000000),4)</f>
        <v>4.87E-2</v>
      </c>
      <c r="AB254" s="49">
        <f>ROUND((R249*V254*F249*O249/1000000),4)</f>
        <v>0</v>
      </c>
      <c r="AC254" s="50" t="s">
        <v>170</v>
      </c>
      <c r="AD254" s="51" t="s">
        <v>162</v>
      </c>
      <c r="AE254" s="44">
        <f>ROUND((((X254*E249)/1800)),4)</f>
        <v>7.6499999999999999E-2</v>
      </c>
      <c r="AF254" s="44">
        <f>ROUND(((Z254+AA254+AB254)),4)</f>
        <v>9.4100000000000003E-2</v>
      </c>
      <c r="AG254" s="88"/>
    </row>
    <row r="255" spans="1:34" ht="12.95" customHeight="1" x14ac:dyDescent="0.25">
      <c r="A255" s="52"/>
      <c r="B255" s="67" t="s">
        <v>242</v>
      </c>
      <c r="C255" s="46">
        <v>3</v>
      </c>
      <c r="D255" s="45" t="s">
        <v>228</v>
      </c>
      <c r="E255" s="45">
        <v>1</v>
      </c>
      <c r="F255" s="45">
        <v>1</v>
      </c>
      <c r="G255" s="45">
        <v>6</v>
      </c>
      <c r="H255" s="45">
        <v>60</v>
      </c>
      <c r="I255" s="45">
        <f>(8-1-0.75*2)*60*F255-K255-8*0.12*60</f>
        <v>57.900000000000006</v>
      </c>
      <c r="J255" s="45">
        <v>14</v>
      </c>
      <c r="K255" s="45">
        <f>(8-1-0.75*2)*0.65*60*F255</f>
        <v>214.5</v>
      </c>
      <c r="L255" s="48">
        <v>1.49</v>
      </c>
      <c r="M255" s="48">
        <v>1.49</v>
      </c>
      <c r="N255" s="45">
        <v>10</v>
      </c>
      <c r="O255" s="45">
        <f>E255/F255</f>
        <v>1</v>
      </c>
      <c r="P255" s="45">
        <v>180</v>
      </c>
      <c r="Q255" s="45">
        <v>90</v>
      </c>
      <c r="R255" s="47">
        <v>90</v>
      </c>
      <c r="S255" s="47">
        <v>0.28999999999999998</v>
      </c>
      <c r="T255" s="48">
        <f>ROUND((L255*I255+1.3*L255*K255+S255*H255),4)</f>
        <v>519.15750000000003</v>
      </c>
      <c r="U255" s="48">
        <f>ROUND((M255*I255+1.3*M255*K255+S255*H255),4)</f>
        <v>519.15750000000003</v>
      </c>
      <c r="V255" s="48">
        <f>ROUND((M255*I255+1.3*M255*K255+S255*H255),4)</f>
        <v>519.15750000000003</v>
      </c>
      <c r="W255" s="48">
        <f>ROUND((L255*J255+1.3*L255*N255+S255*G255),4)</f>
        <v>41.97</v>
      </c>
      <c r="X255" s="48">
        <f>ROUND((M255*J255+1.3*M255*N255+S255*G255),4)</f>
        <v>41.97</v>
      </c>
      <c r="Y255" s="48">
        <f>ROUND((M255*J255+1.3*M255*N255+S255*G255),4)</f>
        <v>41.97</v>
      </c>
      <c r="Z255" s="49">
        <f>ROUND((P255*T255*F255*O255/1000000),4)</f>
        <v>9.3399999999999997E-2</v>
      </c>
      <c r="AA255" s="49">
        <f>ROUND((Q255*U255*F255*O255/1000000),4)</f>
        <v>4.6699999999999998E-2</v>
      </c>
      <c r="AB255" s="49">
        <f>ROUND((R255*V255*F255*O255/1000000),4)</f>
        <v>4.6699999999999998E-2</v>
      </c>
      <c r="AC255" s="50" t="s">
        <v>200</v>
      </c>
      <c r="AD255" s="51" t="s">
        <v>153</v>
      </c>
      <c r="AE255" s="44">
        <f>ROUND((((X255*E255)/1800)*0.8),4)</f>
        <v>1.8700000000000001E-2</v>
      </c>
      <c r="AF255" s="44">
        <f>ROUND(((Z255+AA255+AB255)*0.8),4)</f>
        <v>0.14940000000000001</v>
      </c>
      <c r="AG255" s="88"/>
      <c r="AH255" s="88"/>
    </row>
    <row r="256" spans="1:34" ht="12.95" customHeight="1" x14ac:dyDescent="0.25">
      <c r="A256" s="52"/>
      <c r="B256" s="53" t="s">
        <v>243</v>
      </c>
      <c r="C256" s="52"/>
      <c r="D256" s="52"/>
      <c r="E256" s="52"/>
      <c r="F256" s="63"/>
      <c r="G256" s="52"/>
      <c r="H256" s="52"/>
      <c r="I256" s="52"/>
      <c r="J256" s="52"/>
      <c r="K256" s="52"/>
      <c r="L256" s="56"/>
      <c r="M256" s="56"/>
      <c r="N256" s="52"/>
      <c r="O256" s="52"/>
      <c r="P256" s="52"/>
      <c r="Q256" s="52"/>
      <c r="R256" s="52"/>
      <c r="S256" s="57"/>
      <c r="T256" s="54"/>
      <c r="U256" s="54"/>
      <c r="V256" s="54"/>
      <c r="W256" s="54"/>
      <c r="X256" s="54"/>
      <c r="Y256" s="54"/>
      <c r="Z256" s="54"/>
      <c r="AA256" s="54"/>
      <c r="AB256" s="54"/>
      <c r="AC256" s="50" t="s">
        <v>201</v>
      </c>
      <c r="AD256" s="51" t="s">
        <v>202</v>
      </c>
      <c r="AE256" s="44">
        <f>ROUND((((X255*E255)/1800)*0.13),4)</f>
        <v>3.0000000000000001E-3</v>
      </c>
      <c r="AF256" s="44">
        <f>ROUND(((Z255+AA255+AB255)*0.13),4)</f>
        <v>2.4299999999999999E-2</v>
      </c>
      <c r="AG256" s="88"/>
      <c r="AH256" s="88"/>
    </row>
    <row r="257" spans="1:34" ht="12.95" customHeight="1" x14ac:dyDescent="0.25">
      <c r="A257" s="52"/>
      <c r="B257" s="88"/>
      <c r="C257" s="55"/>
      <c r="D257" s="55"/>
      <c r="E257" s="52"/>
      <c r="F257" s="63"/>
      <c r="G257" s="52"/>
      <c r="H257" s="52"/>
      <c r="I257" s="52"/>
      <c r="J257" s="52"/>
      <c r="K257" s="52"/>
      <c r="L257" s="59">
        <v>0.12</v>
      </c>
      <c r="M257" s="59">
        <v>0.15</v>
      </c>
      <c r="N257" s="52"/>
      <c r="O257" s="52"/>
      <c r="P257" s="52"/>
      <c r="Q257" s="52"/>
      <c r="R257" s="52"/>
      <c r="S257" s="60">
        <v>5.8000000000000003E-2</v>
      </c>
      <c r="T257" s="48">
        <f>ROUND((L257*I255+1.3*L257*K255+S257*H255),4)</f>
        <v>43.89</v>
      </c>
      <c r="U257" s="48">
        <f>ROUND((M257*0.9*I255+1.3*M257*0.9*K255+S257*H255),4)</f>
        <v>48.941299999999998</v>
      </c>
      <c r="V257" s="48">
        <f>ROUND((M257*I255+1.3*M257*K255+S257*H255),4)</f>
        <v>53.9925</v>
      </c>
      <c r="W257" s="48">
        <f>ROUND((L257*J255+1.3*L257*N255+S257*G255),4)</f>
        <v>3.5880000000000001</v>
      </c>
      <c r="X257" s="48">
        <f>ROUND((M257*0.9*J255+1.3*M257*0.9*N255+S257*G255),4)</f>
        <v>3.9929999999999999</v>
      </c>
      <c r="Y257" s="48">
        <f>ROUND((M257*J255+1.3*M257*N255+S257*G255),4)</f>
        <v>4.3979999999999997</v>
      </c>
      <c r="Z257" s="49">
        <f>ROUND((P255*T257*F255*O255/1000000),4)</f>
        <v>7.9000000000000008E-3</v>
      </c>
      <c r="AA257" s="49">
        <f>ROUND((Q255*U257*F255*O255/1000000),4)</f>
        <v>4.4000000000000003E-3</v>
      </c>
      <c r="AB257" s="49">
        <f>ROUND((R255*V257*F255*O255/1000000),4)</f>
        <v>4.8999999999999998E-3</v>
      </c>
      <c r="AC257" s="50" t="s">
        <v>203</v>
      </c>
      <c r="AD257" s="51" t="s">
        <v>204</v>
      </c>
      <c r="AE257" s="44">
        <f>ROUND((((X257*E255)/1800)),4)</f>
        <v>2.2000000000000001E-3</v>
      </c>
      <c r="AF257" s="44">
        <f>ROUND(((Z257+AA257+AB257)),5)</f>
        <v>1.72E-2</v>
      </c>
      <c r="AG257" s="88"/>
      <c r="AH257" s="88"/>
    </row>
    <row r="258" spans="1:34" ht="12.95" customHeight="1" x14ac:dyDescent="0.25">
      <c r="A258" s="52"/>
      <c r="B258" s="88"/>
      <c r="C258" s="52"/>
      <c r="D258" s="52"/>
      <c r="E258" s="52"/>
      <c r="F258" s="63"/>
      <c r="G258" s="52"/>
      <c r="H258" s="52"/>
      <c r="I258" s="52"/>
      <c r="J258" s="52"/>
      <c r="K258" s="52"/>
      <c r="L258" s="59">
        <v>0.26</v>
      </c>
      <c r="M258" s="59">
        <v>0.31</v>
      </c>
      <c r="N258" s="52"/>
      <c r="O258" s="52"/>
      <c r="P258" s="52"/>
      <c r="Q258" s="52"/>
      <c r="R258" s="52"/>
      <c r="S258" s="61">
        <v>0.18</v>
      </c>
      <c r="T258" s="48">
        <f>ROUND((L258*I255+1.3*L258*K255+S258*H255),4)</f>
        <v>98.355000000000004</v>
      </c>
      <c r="U258" s="48">
        <f>ROUND((M258*0.9*I255+1.3*M258*0.9*K255+S258*H255),4)</f>
        <v>104.7533</v>
      </c>
      <c r="V258" s="48">
        <f>ROUND((M258*I255+1.3*M258*K255+S258*H255),4)</f>
        <v>115.1925</v>
      </c>
      <c r="W258" s="48">
        <f>ROUND((L258*J255+1.3*L258*N255+S258*G255),4)</f>
        <v>8.1</v>
      </c>
      <c r="X258" s="48">
        <f>ROUND((M258*0.9*J255+1.3*M258*0.9*N255+S258*G255),4)</f>
        <v>8.6129999999999995</v>
      </c>
      <c r="Y258" s="48">
        <f>ROUND((M258*J255+1.3*N255+S258*G255),4)</f>
        <v>18.420000000000002</v>
      </c>
      <c r="Z258" s="49">
        <f>ROUND((P255*T258*F255*O255/1000000),4)</f>
        <v>1.77E-2</v>
      </c>
      <c r="AA258" s="49">
        <f>ROUND((Q255*U258*F255*O255/1000000),4)</f>
        <v>9.4000000000000004E-3</v>
      </c>
      <c r="AB258" s="49">
        <f>ROUND((R255*V258*F255*O255/1000000),4)</f>
        <v>1.04E-2</v>
      </c>
      <c r="AC258" s="50" t="s">
        <v>205</v>
      </c>
      <c r="AD258" s="51" t="s">
        <v>206</v>
      </c>
      <c r="AE258" s="44">
        <f>ROUND((((X258*E255)/1800)),4)</f>
        <v>4.7999999999999996E-3</v>
      </c>
      <c r="AF258" s="44">
        <f>ROUND(((Z258+AA258+AB258)),4)</f>
        <v>3.7499999999999999E-2</v>
      </c>
      <c r="AG258" s="88"/>
      <c r="AH258" s="88"/>
    </row>
    <row r="259" spans="1:34" ht="12.95" customHeight="1" x14ac:dyDescent="0.25">
      <c r="A259" s="52"/>
      <c r="B259" s="53"/>
      <c r="C259" s="52"/>
      <c r="D259" s="52"/>
      <c r="E259" s="52"/>
      <c r="F259" s="63"/>
      <c r="G259" s="52"/>
      <c r="H259" s="52"/>
      <c r="I259" s="52"/>
      <c r="J259" s="52"/>
      <c r="K259" s="52"/>
      <c r="L259" s="59">
        <v>0.17</v>
      </c>
      <c r="M259" s="59">
        <v>0.25</v>
      </c>
      <c r="N259" s="52"/>
      <c r="O259" s="52"/>
      <c r="P259" s="52"/>
      <c r="Q259" s="52"/>
      <c r="R259" s="52"/>
      <c r="S259" s="61">
        <v>0.04</v>
      </c>
      <c r="T259" s="48">
        <f>ROUND((L259*I255+1.3*L259*K255+S259*H255),4)</f>
        <v>59.647500000000001</v>
      </c>
      <c r="U259" s="48">
        <f>ROUND((M259*0.9*I255+1.3*M259*0.9*K255+S259*H255),4)</f>
        <v>78.168800000000005</v>
      </c>
      <c r="V259" s="48">
        <f>ROUND((M259*I255+1.3*M259*K255+S259*H255),4)</f>
        <v>86.587500000000006</v>
      </c>
      <c r="W259" s="48">
        <f>ROUND((L259*J255+1.3*L259*N255+S259*G255),4)</f>
        <v>4.83</v>
      </c>
      <c r="X259" s="48">
        <f>ROUND((M259*0.9*J255+1.3*M259*0.9*N255+S259*G255),4)</f>
        <v>6.3150000000000004</v>
      </c>
      <c r="Y259" s="48">
        <f>ROUND((M259*J255+1.3*M259*N255+S259*G255),4)</f>
        <v>6.99</v>
      </c>
      <c r="Z259" s="49">
        <f>ROUND((P255*T259*F255*O255/1000000),4)</f>
        <v>1.0699999999999999E-2</v>
      </c>
      <c r="AA259" s="49">
        <f>ROUND((Q255*U259*F255*O255/1000000),4)</f>
        <v>7.0000000000000001E-3</v>
      </c>
      <c r="AB259" s="49">
        <f>ROUND((R255*V259*F255*O255/1000000),4)</f>
        <v>7.7999999999999996E-3</v>
      </c>
      <c r="AC259" s="50" t="s">
        <v>250</v>
      </c>
      <c r="AD259" s="51" t="s">
        <v>208</v>
      </c>
      <c r="AE259" s="44">
        <f>ROUND((((X259*E255)/1800)),4)</f>
        <v>3.5000000000000001E-3</v>
      </c>
      <c r="AF259" s="44">
        <f>ROUND(((Z259+AA259+AB259)),4)</f>
        <v>2.5499999999999998E-2</v>
      </c>
      <c r="AG259" s="88"/>
      <c r="AH259" s="88"/>
    </row>
    <row r="260" spans="1:34" ht="12.95" customHeight="1" x14ac:dyDescent="0.25">
      <c r="A260" s="56"/>
      <c r="B260" s="62"/>
      <c r="C260" s="56"/>
      <c r="D260" s="56"/>
      <c r="E260" s="56"/>
      <c r="F260" s="66"/>
      <c r="G260" s="56"/>
      <c r="H260" s="56"/>
      <c r="I260" s="56"/>
      <c r="J260" s="56"/>
      <c r="K260" s="56"/>
      <c r="L260" s="59">
        <v>0.77</v>
      </c>
      <c r="M260" s="59">
        <v>0.94</v>
      </c>
      <c r="N260" s="56"/>
      <c r="O260" s="56"/>
      <c r="P260" s="56"/>
      <c r="Q260" s="56"/>
      <c r="R260" s="56"/>
      <c r="S260" s="61">
        <v>1.44</v>
      </c>
      <c r="T260" s="48">
        <f>ROUND((L260*I255+1.3*L260*K255+S260*H255),4)</f>
        <v>345.69749999999999</v>
      </c>
      <c r="U260" s="48">
        <f>ROUND((M260*0.9*I255+1.3*M260*0.9*K255+S260*H255),4)</f>
        <v>371.29050000000001</v>
      </c>
      <c r="V260" s="48">
        <f>ROUND((M260*I255+1.3*M260*K255+S260*H255),4)</f>
        <v>402.94499999999999</v>
      </c>
      <c r="W260" s="48">
        <f>ROUND((L260*J255+1.3*L260*N255+S260*G255),4)</f>
        <v>29.43</v>
      </c>
      <c r="X260" s="48">
        <f>ROUND((M260*0.9*J255+1.3*M260*0.9*N255+S260*G255),4)</f>
        <v>31.481999999999999</v>
      </c>
      <c r="Y260" s="48">
        <f>ROUND((M260*J255+1.3*M260*N255+S260*G255),4)</f>
        <v>34.020000000000003</v>
      </c>
      <c r="Z260" s="49">
        <f>ROUND((P255*T260*F255*O255/1000000),4)</f>
        <v>6.2199999999999998E-2</v>
      </c>
      <c r="AA260" s="49">
        <f>ROUND((Q255*U260*F255*O255/1000000),4)</f>
        <v>3.3399999999999999E-2</v>
      </c>
      <c r="AB260" s="49">
        <f>ROUND((R255*V260*F255*O255/1000000),4)</f>
        <v>3.6299999999999999E-2</v>
      </c>
      <c r="AC260" s="50" t="s">
        <v>170</v>
      </c>
      <c r="AD260" s="51" t="s">
        <v>162</v>
      </c>
      <c r="AE260" s="44">
        <f>ROUND((((X260*E255)/1800)),4)</f>
        <v>1.7500000000000002E-2</v>
      </c>
      <c r="AF260" s="44">
        <f>ROUND(((Z260+AA260+AB260)),4)</f>
        <v>0.13189999999999999</v>
      </c>
      <c r="AG260" s="87"/>
      <c r="AH260" s="87"/>
    </row>
    <row r="261" spans="1:34" s="285" customFormat="1" ht="12.95" customHeight="1" x14ac:dyDescent="0.2">
      <c r="A261" s="1057" t="s">
        <v>553</v>
      </c>
      <c r="B261" s="1058"/>
      <c r="C261" s="1058"/>
      <c r="D261" s="1058"/>
      <c r="E261" s="1058"/>
      <c r="F261" s="1058"/>
      <c r="G261" s="1058"/>
      <c r="H261" s="1058"/>
      <c r="I261" s="1058"/>
      <c r="J261" s="1058"/>
      <c r="K261" s="1058"/>
      <c r="L261" s="1058"/>
      <c r="M261" s="1058"/>
      <c r="N261" s="1058"/>
      <c r="O261" s="1058"/>
      <c r="P261" s="1058"/>
      <c r="Q261" s="1058"/>
      <c r="R261" s="1058"/>
      <c r="S261" s="1059"/>
      <c r="T261" s="280">
        <f>ROUND((L261*I261+1.3*L261*K261+S261*H261),4)</f>
        <v>0</v>
      </c>
      <c r="U261" s="280">
        <f>ROUND((M261*I261+1.3*M261*K261+S261*H261),4)</f>
        <v>0</v>
      </c>
      <c r="V261" s="280">
        <f>ROUND((M261*I261+1.3*M261*K261+S261*H261),4)</f>
        <v>0</v>
      </c>
      <c r="W261" s="280">
        <f>ROUND((L261*J261+1.3*L261*N261+S261*G261),4)</f>
        <v>0</v>
      </c>
      <c r="X261" s="280">
        <f>ROUND((M261*J261+1.3*M261*N261+S261*G261),4)</f>
        <v>0</v>
      </c>
      <c r="Y261" s="280">
        <f>ROUND((M261*J261+1.3*M261*N261+S261*G261),4)</f>
        <v>0</v>
      </c>
      <c r="Z261" s="281">
        <f>ROUND((P261*T261*F261*O261/1000000),4)</f>
        <v>0</v>
      </c>
      <c r="AA261" s="281">
        <f>ROUND((Q261*U261*F261*O261/1000000),4)</f>
        <v>0</v>
      </c>
      <c r="AB261" s="281">
        <f>ROUND((R261*V261*F261*O261/1000000),4)</f>
        <v>0</v>
      </c>
      <c r="AC261" s="282" t="s">
        <v>200</v>
      </c>
      <c r="AD261" s="283" t="s">
        <v>153</v>
      </c>
      <c r="AE261" s="284">
        <f>MAX(AE153,AE159,AE165,AE171,AE177,AE183,AE189,AE195,AE201,AE207,AE213,AE219,AE225,AE231,AE237,AE243,AE249,AE255)</f>
        <v>0.12720000000000001</v>
      </c>
      <c r="AF261" s="284">
        <f>AF153+AF159+AF165+AF171+AF177+AF183+AF189+AF195+AF201+AF207+AF213+AF219+AF225+AF231+AF237+AF243+AF249+AF255</f>
        <v>23.689300000000003</v>
      </c>
      <c r="AG261" s="288"/>
    </row>
    <row r="262" spans="1:34" s="285" customFormat="1" ht="12.95" customHeight="1" x14ac:dyDescent="0.2">
      <c r="A262" s="1057"/>
      <c r="B262" s="1060"/>
      <c r="C262" s="1060"/>
      <c r="D262" s="1060"/>
      <c r="E262" s="1060"/>
      <c r="F262" s="1060"/>
      <c r="G262" s="1060"/>
      <c r="H262" s="1060"/>
      <c r="I262" s="1060"/>
      <c r="J262" s="1060"/>
      <c r="K262" s="1060"/>
      <c r="L262" s="1060"/>
      <c r="M262" s="1060"/>
      <c r="N262" s="1060"/>
      <c r="O262" s="1060"/>
      <c r="P262" s="1060"/>
      <c r="Q262" s="1060"/>
      <c r="R262" s="1060"/>
      <c r="S262" s="1061"/>
      <c r="T262" s="286"/>
      <c r="U262" s="286"/>
      <c r="V262" s="286"/>
      <c r="W262" s="286"/>
      <c r="X262" s="286"/>
      <c r="Y262" s="286"/>
      <c r="Z262" s="286"/>
      <c r="AA262" s="286"/>
      <c r="AB262" s="286"/>
      <c r="AC262" s="282" t="s">
        <v>201</v>
      </c>
      <c r="AD262" s="283" t="s">
        <v>202</v>
      </c>
      <c r="AE262" s="284">
        <f>MAX(AE154,AE160,AE166,AE172,AE178,AE184,AE190,AE196,AE202,AE208,AE214,AE220,AE226,AE232,AE238,AE244,AE250,AE256)</f>
        <v>2.07E-2</v>
      </c>
      <c r="AF262" s="284">
        <f t="shared" ref="AF262:AF266" si="2">AF154+AF160+AF166+AF172+AF178+AF184+AF190+AF196+AF202+AF208+AF214+AF220+AF226+AF232+AF238+AF244+AF250+AF256</f>
        <v>3.8497000000000003</v>
      </c>
      <c r="AG262" s="288"/>
    </row>
    <row r="263" spans="1:34" s="285" customFormat="1" ht="12.95" customHeight="1" x14ac:dyDescent="0.2">
      <c r="A263" s="1057"/>
      <c r="B263" s="1060"/>
      <c r="C263" s="1060"/>
      <c r="D263" s="1060"/>
      <c r="E263" s="1060"/>
      <c r="F263" s="1060"/>
      <c r="G263" s="1060"/>
      <c r="H263" s="1060"/>
      <c r="I263" s="1060"/>
      <c r="J263" s="1060"/>
      <c r="K263" s="1060"/>
      <c r="L263" s="1060"/>
      <c r="M263" s="1060"/>
      <c r="N263" s="1060"/>
      <c r="O263" s="1060"/>
      <c r="P263" s="1060"/>
      <c r="Q263" s="1060"/>
      <c r="R263" s="1060"/>
      <c r="S263" s="1061"/>
      <c r="T263" s="280">
        <f>ROUND((L263*I261+1.3*L263*K261+S263*H261),4)</f>
        <v>0</v>
      </c>
      <c r="U263" s="280">
        <f>ROUND((M263*0.9*I261+1.3*M263*0.9*K261+S263*H261),4)</f>
        <v>0</v>
      </c>
      <c r="V263" s="280">
        <f>ROUND((M263*I261+1.3*M263*K261+S263*H261),4)</f>
        <v>0</v>
      </c>
      <c r="W263" s="280">
        <f>ROUND((L263*J261+1.3*L263*N261+S263*G261),4)</f>
        <v>0</v>
      </c>
      <c r="X263" s="280">
        <f>ROUND((M263*0.9*J261+1.3*M263*0.9*N261+S263*G261),4)</f>
        <v>0</v>
      </c>
      <c r="Y263" s="280">
        <f>ROUND((M263*J261+1.3*M263*N261+S263*G261),4)</f>
        <v>0</v>
      </c>
      <c r="Z263" s="281">
        <f>ROUND((P261*T263*F261*O261/1000000),4)</f>
        <v>0</v>
      </c>
      <c r="AA263" s="281">
        <f>ROUND((Q261*U263*F261*O261/1000000),4)</f>
        <v>0</v>
      </c>
      <c r="AB263" s="281">
        <f>ROUND((R261*V263*F261*O261/1000000),4)</f>
        <v>0</v>
      </c>
      <c r="AC263" s="282" t="s">
        <v>203</v>
      </c>
      <c r="AD263" s="283" t="s">
        <v>204</v>
      </c>
      <c r="AE263" s="284">
        <f t="shared" ref="AE263:AE266" si="3">MAX(AE155,AE161,AE167,AE173,AE179,AE185,AE191,AE197,AE203,AE209,AE215,AE221,AE227,AE233,AE239,AE245,AE251,AE257)</f>
        <v>1.4500000000000001E-2</v>
      </c>
      <c r="AF263" s="284">
        <f t="shared" si="2"/>
        <v>2.7121999999999997</v>
      </c>
      <c r="AG263" s="288"/>
    </row>
    <row r="264" spans="1:34" s="285" customFormat="1" ht="12.95" customHeight="1" x14ac:dyDescent="0.2">
      <c r="A264" s="1057"/>
      <c r="B264" s="1060"/>
      <c r="C264" s="1060"/>
      <c r="D264" s="1060"/>
      <c r="E264" s="1060"/>
      <c r="F264" s="1060"/>
      <c r="G264" s="1060"/>
      <c r="H264" s="1060"/>
      <c r="I264" s="1060"/>
      <c r="J264" s="1060"/>
      <c r="K264" s="1060"/>
      <c r="L264" s="1060"/>
      <c r="M264" s="1060"/>
      <c r="N264" s="1060"/>
      <c r="O264" s="1060"/>
      <c r="P264" s="1060"/>
      <c r="Q264" s="1060"/>
      <c r="R264" s="1060"/>
      <c r="S264" s="1061"/>
      <c r="T264" s="280">
        <f>ROUND((L264*I261+1.3*L264*K261+S264*H261),4)</f>
        <v>0</v>
      </c>
      <c r="U264" s="280">
        <f>ROUND((M264*0.9*I261+1.3*M264*0.9*K261+S264*H261),4)</f>
        <v>0</v>
      </c>
      <c r="V264" s="280">
        <f>ROUND((M264*I261+1.3*M264*K261+S264*H261),4)</f>
        <v>0</v>
      </c>
      <c r="W264" s="280">
        <f>ROUND((L264*J261+1.3*L264*N261+S264*G261),4)</f>
        <v>0</v>
      </c>
      <c r="X264" s="280">
        <f>ROUND((M264*0.9*J261+1.3*M264*0.9*N261+S264*G261),4)</f>
        <v>0</v>
      </c>
      <c r="Y264" s="280">
        <f>ROUND((M264*J261+1.3*N261+S264*G261),4)</f>
        <v>0</v>
      </c>
      <c r="Z264" s="281">
        <f>ROUND((P261*T264*F261*O261/1000000),4)</f>
        <v>0</v>
      </c>
      <c r="AA264" s="281">
        <f>ROUND((Q261*U264*F261*O261/1000000),4)</f>
        <v>0</v>
      </c>
      <c r="AB264" s="281">
        <f>ROUND((R261*V264*F261*O261/1000000),4)</f>
        <v>0</v>
      </c>
      <c r="AC264" s="282" t="s">
        <v>205</v>
      </c>
      <c r="AD264" s="283" t="s">
        <v>206</v>
      </c>
      <c r="AE264" s="284">
        <f t="shared" si="3"/>
        <v>3.32E-2</v>
      </c>
      <c r="AF264" s="284">
        <f t="shared" si="2"/>
        <v>5.5900999999999996</v>
      </c>
      <c r="AG264" s="288"/>
    </row>
    <row r="265" spans="1:34" s="285" customFormat="1" ht="12.95" customHeight="1" x14ac:dyDescent="0.2">
      <c r="A265" s="1057"/>
      <c r="B265" s="1060"/>
      <c r="C265" s="1060"/>
      <c r="D265" s="1060"/>
      <c r="E265" s="1060"/>
      <c r="F265" s="1060"/>
      <c r="G265" s="1060"/>
      <c r="H265" s="1060"/>
      <c r="I265" s="1060"/>
      <c r="J265" s="1060"/>
      <c r="K265" s="1060"/>
      <c r="L265" s="1060"/>
      <c r="M265" s="1060"/>
      <c r="N265" s="1060"/>
      <c r="O265" s="1060"/>
      <c r="P265" s="1060"/>
      <c r="Q265" s="1060"/>
      <c r="R265" s="1060"/>
      <c r="S265" s="1061"/>
      <c r="T265" s="280">
        <f>ROUND((L265*I261+1.3*L265*K261+S265*H261),4)</f>
        <v>0</v>
      </c>
      <c r="U265" s="280">
        <f>ROUND((M265*0.9*I261+1.3*M265*0.9*K261+S265*H261),4)</f>
        <v>0</v>
      </c>
      <c r="V265" s="280">
        <f>ROUND((M265*I261+1.3*M265*K261+S265*H261),4)</f>
        <v>0</v>
      </c>
      <c r="W265" s="280">
        <f>ROUND((L265*J261+1.3*L265*N261+S265*G261),4)</f>
        <v>0</v>
      </c>
      <c r="X265" s="280">
        <f>ROUND((M265*0.9*J261+1.3*M265*0.9*N261+S265*G261),4)</f>
        <v>0</v>
      </c>
      <c r="Y265" s="280">
        <f>ROUND((M265*J261+1.3*M265*N261+S265*G261),4)</f>
        <v>0</v>
      </c>
      <c r="Z265" s="281">
        <f>ROUND((P261*T265*F261*O261/1000000),4)</f>
        <v>0</v>
      </c>
      <c r="AA265" s="281">
        <f>ROUND((Q261*U265*F261*O261/1000000),4)</f>
        <v>0</v>
      </c>
      <c r="AB265" s="281">
        <f>ROUND((R261*V265*F261*O261/1000000),4)</f>
        <v>0</v>
      </c>
      <c r="AC265" s="282" t="s">
        <v>250</v>
      </c>
      <c r="AD265" s="283" t="s">
        <v>208</v>
      </c>
      <c r="AE265" s="284">
        <f t="shared" si="3"/>
        <v>2.3800000000000002E-2</v>
      </c>
      <c r="AF265" s="284">
        <f t="shared" si="2"/>
        <v>3.8461000000000003</v>
      </c>
      <c r="AG265" s="288"/>
    </row>
    <row r="266" spans="1:34" s="285" customFormat="1" ht="12.95" customHeight="1" x14ac:dyDescent="0.2">
      <c r="A266" s="1062"/>
      <c r="B266" s="1063"/>
      <c r="C266" s="1063"/>
      <c r="D266" s="1063"/>
      <c r="E266" s="1063"/>
      <c r="F266" s="1063"/>
      <c r="G266" s="1063"/>
      <c r="H266" s="1063"/>
      <c r="I266" s="1063"/>
      <c r="J266" s="1063"/>
      <c r="K266" s="1063"/>
      <c r="L266" s="1063"/>
      <c r="M266" s="1063"/>
      <c r="N266" s="1063"/>
      <c r="O266" s="1063"/>
      <c r="P266" s="1063"/>
      <c r="Q266" s="1063"/>
      <c r="R266" s="1063"/>
      <c r="S266" s="1064"/>
      <c r="T266" s="280">
        <f>ROUND((L266*I261+1.3*L266*K261+S266*H261),4)</f>
        <v>0</v>
      </c>
      <c r="U266" s="280">
        <f>ROUND((M266*0.9*I261+1.3*M266*0.9*K261+S266*H261),4)</f>
        <v>0</v>
      </c>
      <c r="V266" s="280">
        <f>ROUND((M266*I261+1.3*M266*K261+S266*H261),4)</f>
        <v>0</v>
      </c>
      <c r="W266" s="280">
        <f>ROUND((L266*J261+1.3*L266*N261+S266*G261),4)</f>
        <v>0</v>
      </c>
      <c r="X266" s="280">
        <f>ROUND((M266*0.9*J261+1.3*M266*0.9*N261+S266*G261),4)</f>
        <v>0</v>
      </c>
      <c r="Y266" s="280">
        <f>ROUND((M266*J261+1.3*M266*N261+S266*G261),4)</f>
        <v>0</v>
      </c>
      <c r="Z266" s="281">
        <f>ROUND((P261*T266*F261*O261/1000000),4)</f>
        <v>0</v>
      </c>
      <c r="AA266" s="281">
        <f>ROUND((Q261*U266*F261*O261/1000000),4)</f>
        <v>0</v>
      </c>
      <c r="AB266" s="281">
        <f>ROUND((R261*V266*F261*O261/1000000),4)</f>
        <v>0</v>
      </c>
      <c r="AC266" s="282" t="s">
        <v>170</v>
      </c>
      <c r="AD266" s="283" t="s">
        <v>162</v>
      </c>
      <c r="AE266" s="284">
        <f t="shared" si="3"/>
        <v>0.12039999999999999</v>
      </c>
      <c r="AF266" s="284">
        <f t="shared" si="2"/>
        <v>17.333000000000006</v>
      </c>
      <c r="AG266" s="287">
        <f>SUM(AE261:AE266)</f>
        <v>0.33980000000000005</v>
      </c>
      <c r="AH266" s="287">
        <f>SUM(AF261:AF266)</f>
        <v>57.020400000000009</v>
      </c>
    </row>
    <row r="267" spans="1:34" s="289" customFormat="1" ht="12.95" customHeight="1" x14ac:dyDescent="0.2">
      <c r="A267" s="1068" t="s">
        <v>98</v>
      </c>
      <c r="B267" s="1069"/>
      <c r="C267" s="1069"/>
      <c r="D267" s="1069"/>
      <c r="E267" s="1069"/>
      <c r="F267" s="1069"/>
      <c r="G267" s="1069"/>
      <c r="H267" s="1069"/>
      <c r="I267" s="1069"/>
      <c r="J267" s="1069"/>
      <c r="K267" s="1069"/>
      <c r="L267" s="1069"/>
      <c r="M267" s="1069"/>
      <c r="N267" s="1069"/>
      <c r="O267" s="1069"/>
      <c r="P267" s="1069"/>
      <c r="Q267" s="1069"/>
      <c r="R267" s="1069"/>
      <c r="S267" s="1069"/>
      <c r="T267" s="1069"/>
      <c r="U267" s="1069"/>
      <c r="V267" s="1069"/>
      <c r="W267" s="1069"/>
      <c r="X267" s="1069"/>
      <c r="Y267" s="1069"/>
      <c r="Z267" s="1069"/>
      <c r="AA267" s="1069"/>
      <c r="AB267" s="1069"/>
      <c r="AC267" s="1069"/>
      <c r="AD267" s="1069"/>
      <c r="AE267" s="1069"/>
      <c r="AF267" s="1070"/>
    </row>
    <row r="268" spans="1:34" ht="12.95" customHeight="1" x14ac:dyDescent="0.25">
      <c r="A268" s="45">
        <v>8030</v>
      </c>
      <c r="B268" s="46" t="s">
        <v>218</v>
      </c>
      <c r="C268" s="45">
        <v>4</v>
      </c>
      <c r="D268" s="45" t="s">
        <v>199</v>
      </c>
      <c r="E268" s="45">
        <v>1</v>
      </c>
      <c r="F268" s="45">
        <v>1</v>
      </c>
      <c r="G268" s="45">
        <v>6</v>
      </c>
      <c r="H268" s="45">
        <v>60</v>
      </c>
      <c r="I268" s="45">
        <f>(8-1-0.75*2)*60*F268-K268-8*0.12*60</f>
        <v>57.900000000000006</v>
      </c>
      <c r="J268" s="45">
        <v>14</v>
      </c>
      <c r="K268" s="45">
        <f>(8-1-0.75*2)*0.65*60*F268</f>
        <v>214.5</v>
      </c>
      <c r="L268" s="45">
        <v>2.4700000000000002</v>
      </c>
      <c r="M268" s="45">
        <v>2.4700000000000002</v>
      </c>
      <c r="N268" s="45">
        <v>10</v>
      </c>
      <c r="O268" s="45">
        <f>E268/F268</f>
        <v>1</v>
      </c>
      <c r="P268" s="45">
        <v>60</v>
      </c>
      <c r="Q268" s="45">
        <v>0</v>
      </c>
      <c r="R268" s="47">
        <v>0</v>
      </c>
      <c r="S268" s="45">
        <v>0.48</v>
      </c>
      <c r="T268" s="48">
        <f>ROUND((L268*I268+1.3*L268*K268+S268*H268),4)</f>
        <v>860.57249999999999</v>
      </c>
      <c r="U268" s="48">
        <f>ROUND((M268*I268+1.3*M268*K268+S268*H268),4)</f>
        <v>860.57249999999999</v>
      </c>
      <c r="V268" s="48">
        <f>ROUND((M268*I268+1.3*M268*K268+S268*H268),4)</f>
        <v>860.57249999999999</v>
      </c>
      <c r="W268" s="48">
        <f>ROUND((L268*J268+1.3*L268*N268+S268*G268),4)</f>
        <v>69.569999999999993</v>
      </c>
      <c r="X268" s="48">
        <f>ROUND((M268*J268+1.3*M268*N268+S268*G268),4)</f>
        <v>69.569999999999993</v>
      </c>
      <c r="Y268" s="48">
        <f>ROUND((M268*J268+1.3*M268*N268+S268*G268),4)</f>
        <v>69.569999999999993</v>
      </c>
      <c r="Z268" s="49">
        <f>ROUND((P268*T268*F268*O268/1000000),4)</f>
        <v>5.16E-2</v>
      </c>
      <c r="AA268" s="49">
        <f>ROUND((Q268*U268*F268*O268/1000000),4)</f>
        <v>0</v>
      </c>
      <c r="AB268" s="49">
        <f>ROUND((R268*V268*F268*O268/1000000),4)</f>
        <v>0</v>
      </c>
      <c r="AC268" s="50" t="s">
        <v>200</v>
      </c>
      <c r="AD268" s="51" t="s">
        <v>153</v>
      </c>
      <c r="AE268" s="44">
        <f>ROUND((((X268*E268)/1800)*0.8),4)</f>
        <v>3.09E-2</v>
      </c>
      <c r="AF268" s="44">
        <f>ROUND(((Z268+AA268+AB268)*0.8),4)</f>
        <v>4.1300000000000003E-2</v>
      </c>
    </row>
    <row r="269" spans="1:34" ht="12.95" customHeight="1" x14ac:dyDescent="0.25">
      <c r="A269" s="63"/>
      <c r="B269" s="53" t="s">
        <v>219</v>
      </c>
      <c r="C269" s="52"/>
      <c r="D269" s="52"/>
      <c r="E269" s="52"/>
      <c r="F269" s="63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68"/>
      <c r="T269" s="54"/>
      <c r="U269" s="54"/>
      <c r="V269" s="54"/>
      <c r="W269" s="54"/>
      <c r="X269" s="54"/>
      <c r="Y269" s="54"/>
      <c r="Z269" s="54"/>
      <c r="AA269" s="54"/>
      <c r="AB269" s="54"/>
      <c r="AC269" s="50" t="s">
        <v>201</v>
      </c>
      <c r="AD269" s="51" t="s">
        <v>202</v>
      </c>
      <c r="AE269" s="44">
        <f>ROUND((((X268*E268)/1800)*0.13),4)</f>
        <v>5.0000000000000001E-3</v>
      </c>
      <c r="AF269" s="44">
        <f>ROUND(((Z268+AA268+AB268)*0.13),4)</f>
        <v>6.7000000000000002E-3</v>
      </c>
    </row>
    <row r="270" spans="1:34" ht="12.95" customHeight="1" x14ac:dyDescent="0.25">
      <c r="A270" s="63"/>
      <c r="B270" s="53"/>
      <c r="C270" s="55"/>
      <c r="D270" s="55"/>
      <c r="E270" s="52"/>
      <c r="F270" s="63"/>
      <c r="G270" s="52"/>
      <c r="H270" s="52"/>
      <c r="I270" s="52"/>
      <c r="J270" s="52"/>
      <c r="K270" s="52"/>
      <c r="L270" s="52">
        <v>0.19</v>
      </c>
      <c r="M270" s="52">
        <v>0.23</v>
      </c>
      <c r="N270" s="52"/>
      <c r="O270" s="52"/>
      <c r="P270" s="52"/>
      <c r="Q270" s="52"/>
      <c r="R270" s="52"/>
      <c r="S270" s="69">
        <v>9.7000000000000003E-2</v>
      </c>
      <c r="T270" s="48">
        <f>ROUND((L270*I268+1.3*L270*K268+S270*H268),4)</f>
        <v>69.802499999999995</v>
      </c>
      <c r="U270" s="48">
        <f>ROUND((M270*0.9*I268+1.3*M270*0.9*K268+S270*H268),4)</f>
        <v>75.527299999999997</v>
      </c>
      <c r="V270" s="48">
        <f>ROUND((M270*I268+1.3*M270*K268+S270*H268),4)</f>
        <v>83.272499999999994</v>
      </c>
      <c r="W270" s="48">
        <f>ROUND((L270*J268+1.3*L270*N268+S270*G268),4)</f>
        <v>5.7119999999999997</v>
      </c>
      <c r="X270" s="48">
        <f>ROUND((M270*0.9*J268+1.3*M270*0.9*N268+S270*G268),4)</f>
        <v>6.1710000000000003</v>
      </c>
      <c r="Y270" s="48">
        <f>ROUND((M270*J268+1.3*M270*N268+S270*G268),4)</f>
        <v>6.7919999999999998</v>
      </c>
      <c r="Z270" s="49">
        <f>ROUND((P268*T270*F268*O268/1000000),4)</f>
        <v>4.1999999999999997E-3</v>
      </c>
      <c r="AA270" s="49">
        <f>ROUND((Q268*U270*F268*O268/1000000),4)</f>
        <v>0</v>
      </c>
      <c r="AB270" s="49">
        <f>ROUND((R268*V270*F268*O268/1000000),4)</f>
        <v>0</v>
      </c>
      <c r="AC270" s="50" t="s">
        <v>203</v>
      </c>
      <c r="AD270" s="51" t="s">
        <v>204</v>
      </c>
      <c r="AE270" s="44">
        <f>ROUND((((X270*E268)/1800)),4)</f>
        <v>3.3999999999999998E-3</v>
      </c>
      <c r="AF270" s="44">
        <f>ROUND(((Z270+AA270+AB270)),5)</f>
        <v>4.1999999999999997E-3</v>
      </c>
    </row>
    <row r="271" spans="1:34" ht="12.95" customHeight="1" x14ac:dyDescent="0.25">
      <c r="A271" s="63"/>
      <c r="B271" s="98"/>
      <c r="C271" s="52"/>
      <c r="D271" s="52"/>
      <c r="E271" s="52"/>
      <c r="F271" s="63"/>
      <c r="G271" s="52"/>
      <c r="H271" s="52"/>
      <c r="I271" s="52"/>
      <c r="J271" s="52"/>
      <c r="K271" s="52"/>
      <c r="L271" s="52">
        <v>0.43</v>
      </c>
      <c r="M271" s="52">
        <v>0.51</v>
      </c>
      <c r="N271" s="52"/>
      <c r="O271" s="52"/>
      <c r="P271" s="52"/>
      <c r="Q271" s="52"/>
      <c r="R271" s="52"/>
      <c r="S271" s="69">
        <v>0.3</v>
      </c>
      <c r="T271" s="48">
        <f>ROUND((L271*I268+1.3*L271*K268+S271*H268),4)</f>
        <v>162.80250000000001</v>
      </c>
      <c r="U271" s="48">
        <f>ROUND((M271*0.9*I268+1.3*M271*0.9*K268+S271*H268),4)</f>
        <v>172.56829999999999</v>
      </c>
      <c r="V271" s="48">
        <f>ROUND((M271*I268+1.3*M271*K268+S271*H268),4)</f>
        <v>189.74250000000001</v>
      </c>
      <c r="W271" s="48">
        <f>ROUND((L271*J268+1.3*L271*N268+S271*G268),4)</f>
        <v>13.41</v>
      </c>
      <c r="X271" s="48">
        <f>ROUND((M271*0.9*J268+1.3*M271*0.9*N268+S271*G268),4)</f>
        <v>14.193</v>
      </c>
      <c r="Y271" s="48">
        <f>ROUND((M271*J268+1.3*N268+S271*G268),4)</f>
        <v>21.94</v>
      </c>
      <c r="Z271" s="49">
        <f>ROUND((P268*T271*F268*O268/1000000),4)</f>
        <v>9.7999999999999997E-3</v>
      </c>
      <c r="AA271" s="49">
        <f>ROUND((Q268*U271*F268*O268/1000000),4)</f>
        <v>0</v>
      </c>
      <c r="AB271" s="49">
        <f>ROUND((R268*V271*F268*O268/1000000),4)</f>
        <v>0</v>
      </c>
      <c r="AC271" s="50" t="s">
        <v>205</v>
      </c>
      <c r="AD271" s="51" t="s">
        <v>206</v>
      </c>
      <c r="AE271" s="44">
        <f>ROUND((((X271*E268)/1800)),4)</f>
        <v>7.9000000000000008E-3</v>
      </c>
      <c r="AF271" s="44">
        <f>ROUND(((Z271+AA271+AB271)),4)</f>
        <v>9.7999999999999997E-3</v>
      </c>
    </row>
    <row r="272" spans="1:34" ht="12.95" customHeight="1" x14ac:dyDescent="0.25">
      <c r="A272" s="63"/>
      <c r="B272" s="53"/>
      <c r="C272" s="52"/>
      <c r="D272" s="52"/>
      <c r="E272" s="52"/>
      <c r="F272" s="63"/>
      <c r="G272" s="52"/>
      <c r="H272" s="52"/>
      <c r="I272" s="52"/>
      <c r="J272" s="52"/>
      <c r="K272" s="52"/>
      <c r="L272" s="52">
        <v>0.27</v>
      </c>
      <c r="M272" s="52">
        <v>0.41</v>
      </c>
      <c r="N272" s="52"/>
      <c r="O272" s="52"/>
      <c r="P272" s="52"/>
      <c r="Q272" s="52"/>
      <c r="R272" s="52"/>
      <c r="S272" s="69">
        <v>0.06</v>
      </c>
      <c r="T272" s="48">
        <f>ROUND((L272*I268+1.3*L272*K268+S272*H268),4)</f>
        <v>94.522499999999994</v>
      </c>
      <c r="U272" s="48">
        <f>ROUND((M272*0.9*I268+1.3*M272*0.9*K268+S272*H268),4)</f>
        <v>127.8608</v>
      </c>
      <c r="V272" s="48">
        <f>ROUND((M272*I268+1.3*M272*K268+S272*H268),4)</f>
        <v>141.66749999999999</v>
      </c>
      <c r="W272" s="48">
        <f>ROUND((L272*J268+1.3*L272*N268+S272*G268),4)</f>
        <v>7.65</v>
      </c>
      <c r="X272" s="48">
        <f>ROUND((M272*0.9*J268+1.3*M272*0.9*N268+S272*G268),4)</f>
        <v>10.323</v>
      </c>
      <c r="Y272" s="48">
        <f>ROUND((M272*J268+1.3*M272*N268+S272*G268),4)</f>
        <v>11.43</v>
      </c>
      <c r="Z272" s="49">
        <f>ROUND((P268*T272*F268*O268/1000000),4)</f>
        <v>5.7000000000000002E-3</v>
      </c>
      <c r="AA272" s="49">
        <f>ROUND((Q268*U272*F268*O268/1000000),4)</f>
        <v>0</v>
      </c>
      <c r="AB272" s="49">
        <f>ROUND((R268*V272*F268*O268/1000000),4)</f>
        <v>0</v>
      </c>
      <c r="AC272" s="50" t="s">
        <v>250</v>
      </c>
      <c r="AD272" s="51" t="s">
        <v>208</v>
      </c>
      <c r="AE272" s="44">
        <f>ROUND((((X272*E268)/1800)),4)</f>
        <v>5.7000000000000002E-3</v>
      </c>
      <c r="AF272" s="44">
        <f>ROUND(((Z272+AA272+AB272)),4)</f>
        <v>5.7000000000000002E-3</v>
      </c>
    </row>
    <row r="273" spans="1:32" ht="12.95" customHeight="1" x14ac:dyDescent="0.25">
      <c r="A273" s="63"/>
      <c r="B273" s="53"/>
      <c r="C273" s="56"/>
      <c r="D273" s="56"/>
      <c r="E273" s="56"/>
      <c r="F273" s="66"/>
      <c r="G273" s="56"/>
      <c r="H273" s="56"/>
      <c r="I273" s="56"/>
      <c r="J273" s="56"/>
      <c r="K273" s="56"/>
      <c r="L273" s="56">
        <v>1.29</v>
      </c>
      <c r="M273" s="56">
        <v>1.57</v>
      </c>
      <c r="N273" s="56"/>
      <c r="O273" s="56"/>
      <c r="P273" s="56"/>
      <c r="Q273" s="56"/>
      <c r="R273" s="56"/>
      <c r="S273" s="69">
        <v>2.4</v>
      </c>
      <c r="T273" s="70">
        <f>ROUND((L273*I268+1.3*L273*K268+S273*H268),4)</f>
        <v>578.40750000000003</v>
      </c>
      <c r="U273" s="70">
        <f>ROUND((M273*0.9*I268+1.3*M273*0.9*K268+S273*H268),4)</f>
        <v>619.82780000000002</v>
      </c>
      <c r="V273" s="70">
        <f>ROUND((M273*I268+1.3*M273*K268+S273*H268),4)</f>
        <v>672.69749999999999</v>
      </c>
      <c r="W273" s="70">
        <f>ROUND((L273*J268+1.3*L273*N268+S273*G268),4)</f>
        <v>49.23</v>
      </c>
      <c r="X273" s="70">
        <f>ROUND((M273*0.9*J268+1.3*M273*0.9*N268+S273*G268),4)</f>
        <v>52.551000000000002</v>
      </c>
      <c r="Y273" s="70">
        <f>ROUND((M273*J268+1.3*M273*N268+S273*G268),4)</f>
        <v>56.79</v>
      </c>
      <c r="Z273" s="71">
        <f>ROUND((P268*T273*F268*O268/1000000),4)</f>
        <v>3.4700000000000002E-2</v>
      </c>
      <c r="AA273" s="71">
        <f>ROUND((Q268*U273*F268*O268/1000000),4)</f>
        <v>0</v>
      </c>
      <c r="AB273" s="71">
        <f>ROUND((R268*V273*F268*O268/1000000),4)</f>
        <v>0</v>
      </c>
      <c r="AC273" s="50" t="s">
        <v>170</v>
      </c>
      <c r="AD273" s="51" t="s">
        <v>162</v>
      </c>
      <c r="AE273" s="44">
        <f>ROUND((((X273*E268)/1800)),4)</f>
        <v>2.92E-2</v>
      </c>
      <c r="AF273" s="44">
        <f>ROUND(((Z273+AA273+AB273)),4)</f>
        <v>3.4700000000000002E-2</v>
      </c>
    </row>
    <row r="274" spans="1:32" ht="12.95" customHeight="1" x14ac:dyDescent="0.25">
      <c r="A274" s="63"/>
      <c r="B274" s="46" t="s">
        <v>211</v>
      </c>
      <c r="C274" s="46">
        <v>5</v>
      </c>
      <c r="D274" s="45" t="s">
        <v>209</v>
      </c>
      <c r="E274" s="45">
        <v>1</v>
      </c>
      <c r="F274" s="45">
        <v>3</v>
      </c>
      <c r="G274" s="45">
        <v>6</v>
      </c>
      <c r="H274" s="45">
        <v>60</v>
      </c>
      <c r="I274" s="45">
        <f>(8-1-0.75*2)*60*F274-K274-8*0.12*60</f>
        <v>288.89999999999998</v>
      </c>
      <c r="J274" s="45">
        <v>14</v>
      </c>
      <c r="K274" s="45">
        <f>(8-1-0.75*2)*0.65*60*F274</f>
        <v>643.5</v>
      </c>
      <c r="L274" s="48">
        <v>4.01</v>
      </c>
      <c r="M274" s="48">
        <v>4.01</v>
      </c>
      <c r="N274" s="45">
        <v>10</v>
      </c>
      <c r="O274" s="45">
        <f>E274/F274</f>
        <v>0.33333333333333331</v>
      </c>
      <c r="P274" s="45">
        <v>120</v>
      </c>
      <c r="Q274" s="45">
        <v>30</v>
      </c>
      <c r="R274" s="47">
        <v>0</v>
      </c>
      <c r="S274" s="47">
        <v>0.78</v>
      </c>
      <c r="T274" s="48">
        <f>ROUND((L274*I274+1.3*L274*K274+S274*H274),4)</f>
        <v>4559.8545000000004</v>
      </c>
      <c r="U274" s="48">
        <f>ROUND((M274*I274+1.3*M274*K274+S274*H274),4)</f>
        <v>4559.8545000000004</v>
      </c>
      <c r="V274" s="48">
        <f>ROUND((M274*I274+1.3*M274*K274+S274*H274),4)</f>
        <v>4559.8545000000004</v>
      </c>
      <c r="W274" s="48">
        <f>ROUND((L274*J274+1.3*L274*N274+S274*G274),4)</f>
        <v>112.95</v>
      </c>
      <c r="X274" s="48">
        <f>ROUND((M274*J274+1.3*M274*N274+S274*G274),4)</f>
        <v>112.95</v>
      </c>
      <c r="Y274" s="48">
        <f>ROUND((M274*J274+1.3*M274*N274+S274*G274),4)</f>
        <v>112.95</v>
      </c>
      <c r="Z274" s="49">
        <f>ROUND((P274*T274*F274*O274/1000000),4)</f>
        <v>0.54720000000000002</v>
      </c>
      <c r="AA274" s="49">
        <f>ROUND((Q274*U274*F274*O274/1000000),4)</f>
        <v>0.1368</v>
      </c>
      <c r="AB274" s="49">
        <f>ROUND((R274*V274*F274*O274/1000000),4)</f>
        <v>0</v>
      </c>
      <c r="AC274" s="50" t="s">
        <v>200</v>
      </c>
      <c r="AD274" s="51" t="s">
        <v>153</v>
      </c>
      <c r="AE274" s="44">
        <f>ROUND((((X274*E274)/1800)*0.8),4)</f>
        <v>5.0200000000000002E-2</v>
      </c>
      <c r="AF274" s="44">
        <f>ROUND(((Z274+AA274+AB274)*0.8),4)</f>
        <v>0.54720000000000002</v>
      </c>
    </row>
    <row r="275" spans="1:32" ht="12.95" customHeight="1" x14ac:dyDescent="0.25">
      <c r="A275" s="63"/>
      <c r="B275" s="73" t="s">
        <v>212</v>
      </c>
      <c r="C275" s="53"/>
      <c r="D275" s="52"/>
      <c r="E275" s="52"/>
      <c r="F275" s="52"/>
      <c r="G275" s="52"/>
      <c r="H275" s="52"/>
      <c r="I275" s="52"/>
      <c r="J275" s="52"/>
      <c r="K275" s="52"/>
      <c r="L275" s="56"/>
      <c r="M275" s="56"/>
      <c r="N275" s="52"/>
      <c r="O275" s="52"/>
      <c r="P275" s="63"/>
      <c r="Q275" s="63"/>
      <c r="R275" s="63"/>
      <c r="S275" s="57"/>
      <c r="T275" s="54"/>
      <c r="U275" s="54"/>
      <c r="V275" s="54"/>
      <c r="W275" s="54"/>
      <c r="X275" s="54"/>
      <c r="Y275" s="54"/>
      <c r="Z275" s="54"/>
      <c r="AA275" s="54"/>
      <c r="AB275" s="54"/>
      <c r="AC275" s="50" t="s">
        <v>201</v>
      </c>
      <c r="AD275" s="51" t="s">
        <v>202</v>
      </c>
      <c r="AE275" s="44">
        <f>ROUND((((X274*E274)/1800)*0.13),4)</f>
        <v>8.2000000000000007E-3</v>
      </c>
      <c r="AF275" s="44">
        <f>ROUND(((Z274+AA274+AB274)*0.13),4)</f>
        <v>8.8900000000000007E-2</v>
      </c>
    </row>
    <row r="276" spans="1:32" ht="12.95" customHeight="1" x14ac:dyDescent="0.25">
      <c r="A276" s="63"/>
      <c r="B276" s="64"/>
      <c r="C276" s="58"/>
      <c r="D276" s="55"/>
      <c r="E276" s="52"/>
      <c r="F276" s="52"/>
      <c r="G276" s="52"/>
      <c r="H276" s="52"/>
      <c r="I276" s="52"/>
      <c r="J276" s="52"/>
      <c r="K276" s="52"/>
      <c r="L276" s="59">
        <v>0.31</v>
      </c>
      <c r="M276" s="59">
        <v>0.38</v>
      </c>
      <c r="N276" s="52"/>
      <c r="O276" s="52"/>
      <c r="P276" s="63"/>
      <c r="Q276" s="63"/>
      <c r="R276" s="63"/>
      <c r="S276" s="60">
        <v>0.16</v>
      </c>
      <c r="T276" s="48">
        <f>ROUND((L276*I274+1.3*L276*K274+S276*H274),4)</f>
        <v>358.48950000000002</v>
      </c>
      <c r="U276" s="48">
        <f>ROUND((M276*0.9*I274+1.3*M276*0.9*K274+S276*H274),4)</f>
        <v>394.50389999999999</v>
      </c>
      <c r="V276" s="48">
        <f>ROUND((M276*I274+1.3*M276*K274+S276*H274),4)</f>
        <v>437.27100000000002</v>
      </c>
      <c r="W276" s="48">
        <f>ROUND((L276*J274+1.3*L276*N274+S276*G274),4)</f>
        <v>9.33</v>
      </c>
      <c r="X276" s="48">
        <f>ROUND((M276*0.9*J274+1.3*M276*0.9*N274+S276*G274),4)</f>
        <v>10.194000000000001</v>
      </c>
      <c r="Y276" s="48">
        <f>ROUND((M276*J274+1.3*M276*N274+S276*G274),4)</f>
        <v>11.22</v>
      </c>
      <c r="Z276" s="49">
        <f>ROUND((P274*T276*F274*O274/1000000),4)</f>
        <v>4.2999999999999997E-2</v>
      </c>
      <c r="AA276" s="49">
        <f>ROUND((Q274*U276*F274*O274/1000000),4)</f>
        <v>1.18E-2</v>
      </c>
      <c r="AB276" s="49">
        <f>ROUND((R274*V276*F274*O274/1000000),4)</f>
        <v>0</v>
      </c>
      <c r="AC276" s="50" t="s">
        <v>203</v>
      </c>
      <c r="AD276" s="51" t="s">
        <v>204</v>
      </c>
      <c r="AE276" s="44">
        <f>ROUND((((X276*E274)/1800)),4)</f>
        <v>5.7000000000000002E-3</v>
      </c>
      <c r="AF276" s="44">
        <f>ROUND(((Z276+AA276+AB276)),5)</f>
        <v>5.4800000000000001E-2</v>
      </c>
    </row>
    <row r="277" spans="1:32" ht="12.95" customHeight="1" x14ac:dyDescent="0.25">
      <c r="A277" s="63"/>
      <c r="B277" s="64"/>
      <c r="C277" s="53"/>
      <c r="D277" s="52"/>
      <c r="E277" s="52"/>
      <c r="F277" s="52"/>
      <c r="G277" s="52"/>
      <c r="H277" s="52"/>
      <c r="I277" s="52"/>
      <c r="J277" s="52"/>
      <c r="K277" s="52"/>
      <c r="L277" s="59">
        <v>0.71</v>
      </c>
      <c r="M277" s="59">
        <v>0.85</v>
      </c>
      <c r="N277" s="52"/>
      <c r="O277" s="52"/>
      <c r="P277" s="63"/>
      <c r="Q277" s="63"/>
      <c r="R277" s="63"/>
      <c r="S277" s="61">
        <v>0.49</v>
      </c>
      <c r="T277" s="48">
        <f>ROUND((L277*I274+1.3*L277*K274+S277*H274),4)</f>
        <v>828.46950000000004</v>
      </c>
      <c r="U277" s="48">
        <f>ROUND((M277*0.9*I274+1.3*M277*0.9*K274+S277*H274),4)</f>
        <v>890.36929999999995</v>
      </c>
      <c r="V277" s="48">
        <f>ROUND((M277*I274+1.3*M277*K274+S277*H274),4)</f>
        <v>986.03250000000003</v>
      </c>
      <c r="W277" s="48">
        <f>ROUND((L277*J274+1.3*L277*N274+S277*G274),4)</f>
        <v>22.11</v>
      </c>
      <c r="X277" s="48">
        <f>ROUND((M277*0.9*J274+1.3*M277*0.9*N274+S277*G274),4)</f>
        <v>23.594999999999999</v>
      </c>
      <c r="Y277" s="48">
        <f>ROUND((M277*J274+1.3*N274+S277*G274),4)</f>
        <v>27.84</v>
      </c>
      <c r="Z277" s="49">
        <f>ROUND((P274*T277*F274*O274/1000000),4)</f>
        <v>9.9400000000000002E-2</v>
      </c>
      <c r="AA277" s="49">
        <f>ROUND((Q274*U277*F274*O274/1000000),4)</f>
        <v>2.6700000000000002E-2</v>
      </c>
      <c r="AB277" s="49">
        <f>ROUND((R274*V277*F274*O274/1000000),4)</f>
        <v>0</v>
      </c>
      <c r="AC277" s="50" t="s">
        <v>205</v>
      </c>
      <c r="AD277" s="51" t="s">
        <v>206</v>
      </c>
      <c r="AE277" s="44">
        <f>ROUND((((X277*E274)/1800)),4)</f>
        <v>1.3100000000000001E-2</v>
      </c>
      <c r="AF277" s="44">
        <f>ROUND(((Z277+AA277+AB277)),4)</f>
        <v>0.12609999999999999</v>
      </c>
    </row>
    <row r="278" spans="1:32" ht="12.95" customHeight="1" x14ac:dyDescent="0.25">
      <c r="A278" s="63"/>
      <c r="B278" s="64"/>
      <c r="C278" s="53"/>
      <c r="D278" s="52"/>
      <c r="E278" s="52"/>
      <c r="F278" s="52"/>
      <c r="G278" s="52"/>
      <c r="H278" s="52"/>
      <c r="I278" s="52"/>
      <c r="J278" s="52"/>
      <c r="K278" s="52"/>
      <c r="L278" s="59">
        <v>0.45</v>
      </c>
      <c r="M278" s="59">
        <v>0.67</v>
      </c>
      <c r="N278" s="52"/>
      <c r="O278" s="52"/>
      <c r="P278" s="63"/>
      <c r="Q278" s="63"/>
      <c r="R278" s="63"/>
      <c r="S278" s="61">
        <v>0.1</v>
      </c>
      <c r="T278" s="48">
        <f>ROUND((L278*I274+1.3*L278*K274+S278*H274),4)</f>
        <v>512.45249999999999</v>
      </c>
      <c r="U278" s="48">
        <f>ROUND((M278*0.9*I274+1.3*M278*0.9*K274+S278*H274),4)</f>
        <v>684.64639999999997</v>
      </c>
      <c r="V278" s="48">
        <f>ROUND((M278*I274+1.3*M278*K274+S278*H274),4)</f>
        <v>760.05150000000003</v>
      </c>
      <c r="W278" s="48">
        <f>ROUND((L278*J274+1.3*L278*N274+S278*G274),4)</f>
        <v>12.75</v>
      </c>
      <c r="X278" s="48">
        <f>ROUND((M278*0.9*J274+1.3*M278*0.9*N274+S278*G274),4)</f>
        <v>16.881</v>
      </c>
      <c r="Y278" s="48">
        <f>ROUND((M278*J274+1.3*M278*N274+S278*G274),4)</f>
        <v>18.690000000000001</v>
      </c>
      <c r="Z278" s="49">
        <f>ROUND((P274*T278*F274*O274/1000000),4)</f>
        <v>6.1499999999999999E-2</v>
      </c>
      <c r="AA278" s="49">
        <f>ROUND((Q274*U278*F274*O274/1000000),4)</f>
        <v>2.0500000000000001E-2</v>
      </c>
      <c r="AB278" s="49">
        <f>ROUND((R274*V278*F274*O274/1000000),4)</f>
        <v>0</v>
      </c>
      <c r="AC278" s="50" t="s">
        <v>250</v>
      </c>
      <c r="AD278" s="51" t="s">
        <v>208</v>
      </c>
      <c r="AE278" s="44">
        <f>ROUND((((X278*E274)/1800)),4)</f>
        <v>9.4000000000000004E-3</v>
      </c>
      <c r="AF278" s="44">
        <f>ROUND(((Z278+AA278+AB278)),4)</f>
        <v>8.2000000000000003E-2</v>
      </c>
    </row>
    <row r="279" spans="1:32" ht="12.95" customHeight="1" x14ac:dyDescent="0.25">
      <c r="A279" s="63"/>
      <c r="B279" s="72"/>
      <c r="C279" s="62"/>
      <c r="D279" s="56"/>
      <c r="E279" s="56"/>
      <c r="F279" s="56"/>
      <c r="G279" s="56"/>
      <c r="H279" s="56"/>
      <c r="I279" s="56"/>
      <c r="J279" s="56"/>
      <c r="K279" s="56"/>
      <c r="L279" s="59">
        <v>2.09</v>
      </c>
      <c r="M279" s="59">
        <v>2.5499999999999998</v>
      </c>
      <c r="N279" s="56"/>
      <c r="O279" s="56"/>
      <c r="P279" s="66"/>
      <c r="Q279" s="66"/>
      <c r="R279" s="66"/>
      <c r="S279" s="61">
        <v>3.91</v>
      </c>
      <c r="T279" s="48">
        <f>ROUND((L279*I274+1.3*L279*K274+S279*H274),4)</f>
        <v>2586.7905000000001</v>
      </c>
      <c r="U279" s="48">
        <f>ROUND((M279*0.9*I274+1.3*M279*0.9*K274+S279*H274),4)</f>
        <v>2817.5077999999999</v>
      </c>
      <c r="V279" s="48">
        <f>ROUND((M279*I274+1.3*M279*K274+S279*H274),4)</f>
        <v>3104.4974999999999</v>
      </c>
      <c r="W279" s="48">
        <f>ROUND((L279*J274+1.3*L279*N274+S279*G274),4)</f>
        <v>79.89</v>
      </c>
      <c r="X279" s="48">
        <f>ROUND((M279*0.9*J274+1.3*M279*0.9*N274+S279*G274),4)</f>
        <v>85.424999999999997</v>
      </c>
      <c r="Y279" s="48">
        <f>ROUND((M279*J274+1.3*M279*N274+S279*G274),4)</f>
        <v>92.31</v>
      </c>
      <c r="Z279" s="49">
        <f>ROUND((P274*T279*F274*O274/1000000),4)</f>
        <v>0.31040000000000001</v>
      </c>
      <c r="AA279" s="49">
        <f>ROUND((Q274*U279*F274*O274/1000000),4)</f>
        <v>8.4500000000000006E-2</v>
      </c>
      <c r="AB279" s="49">
        <f>ROUND((R274*V279*F274*O274/1000000),4)</f>
        <v>0</v>
      </c>
      <c r="AC279" s="50" t="s">
        <v>170</v>
      </c>
      <c r="AD279" s="51" t="s">
        <v>162</v>
      </c>
      <c r="AE279" s="44">
        <f>ROUND((((X279*E274)/1800)),4)</f>
        <v>4.7500000000000001E-2</v>
      </c>
      <c r="AF279" s="44">
        <f>ROUND(((Z279+AA279+AB279)),4)</f>
        <v>0.39489999999999997</v>
      </c>
    </row>
    <row r="280" spans="1:32" ht="12.95" customHeight="1" x14ac:dyDescent="0.25">
      <c r="A280" s="52"/>
      <c r="B280" s="46" t="s">
        <v>211</v>
      </c>
      <c r="C280" s="46">
        <v>6</v>
      </c>
      <c r="D280" s="45" t="s">
        <v>210</v>
      </c>
      <c r="E280" s="45">
        <v>1</v>
      </c>
      <c r="F280" s="45">
        <v>3</v>
      </c>
      <c r="G280" s="45">
        <v>6</v>
      </c>
      <c r="H280" s="45">
        <v>60</v>
      </c>
      <c r="I280" s="45">
        <f>(8-1-0.75*2)*60*F280-K280-8*0.12*60</f>
        <v>288.89999999999998</v>
      </c>
      <c r="J280" s="45">
        <v>14</v>
      </c>
      <c r="K280" s="45">
        <f>(8-1-0.75*2)*0.65*60*F280</f>
        <v>643.5</v>
      </c>
      <c r="L280" s="48">
        <v>6.47</v>
      </c>
      <c r="M280" s="48">
        <v>6.47</v>
      </c>
      <c r="N280" s="45">
        <v>10</v>
      </c>
      <c r="O280" s="45">
        <f>E280/F280</f>
        <v>0.33333333333333331</v>
      </c>
      <c r="P280" s="45">
        <v>120</v>
      </c>
      <c r="Q280" s="45">
        <v>30</v>
      </c>
      <c r="R280" s="47">
        <v>0</v>
      </c>
      <c r="S280" s="47">
        <v>1.27</v>
      </c>
      <c r="T280" s="48">
        <f>ROUND((L280*I280+1.3*L280*K280+S280*H280),4)</f>
        <v>7357.8615</v>
      </c>
      <c r="U280" s="48">
        <f>ROUND((M280*I280+1.3*M280*K280+S280*H280),4)</f>
        <v>7357.8615</v>
      </c>
      <c r="V280" s="48">
        <f>ROUND((M280*I280+1.3*M280*K280+S280*H280),4)</f>
        <v>7357.8615</v>
      </c>
      <c r="W280" s="48">
        <f>ROUND((L280*J280+1.3*L280*N280+S280*G280),4)</f>
        <v>182.31</v>
      </c>
      <c r="X280" s="48">
        <f>ROUND((M280*J280+1.3*M280*N280+S280*G280),4)</f>
        <v>182.31</v>
      </c>
      <c r="Y280" s="48">
        <f>ROUND((M280*J280+1.3*M280*N280+S280*G280),4)</f>
        <v>182.31</v>
      </c>
      <c r="Z280" s="49">
        <f>ROUND((P280*T280*F280*O280/1000000),4)</f>
        <v>0.88290000000000002</v>
      </c>
      <c r="AA280" s="49">
        <f>ROUND((Q280*U280*F280*O280/1000000),4)</f>
        <v>0.22070000000000001</v>
      </c>
      <c r="AB280" s="49">
        <f>ROUND((R280*V280*F280*O280/1000000),4)</f>
        <v>0</v>
      </c>
      <c r="AC280" s="50" t="s">
        <v>200</v>
      </c>
      <c r="AD280" s="51" t="s">
        <v>153</v>
      </c>
      <c r="AE280" s="44">
        <f>ROUND((((X280*E280)/1800)*0.8),4)</f>
        <v>8.1000000000000003E-2</v>
      </c>
      <c r="AF280" s="44">
        <f>ROUND(((Z280+AA280+AB280)*0.8),4)</f>
        <v>0.88290000000000002</v>
      </c>
    </row>
    <row r="281" spans="1:32" ht="12.95" customHeight="1" x14ac:dyDescent="0.25">
      <c r="A281" s="52"/>
      <c r="B281" s="53" t="s">
        <v>213</v>
      </c>
      <c r="C281" s="52"/>
      <c r="D281" s="52"/>
      <c r="E281" s="63"/>
      <c r="F281" s="63"/>
      <c r="G281" s="52"/>
      <c r="H281" s="52"/>
      <c r="I281" s="52"/>
      <c r="J281" s="52"/>
      <c r="K281" s="52"/>
      <c r="L281" s="56"/>
      <c r="M281" s="56"/>
      <c r="N281" s="52"/>
      <c r="O281" s="52"/>
      <c r="P281" s="63"/>
      <c r="Q281" s="63"/>
      <c r="R281" s="63"/>
      <c r="S281" s="57"/>
      <c r="T281" s="54"/>
      <c r="U281" s="54"/>
      <c r="V281" s="54"/>
      <c r="W281" s="54"/>
      <c r="X281" s="54"/>
      <c r="Y281" s="54"/>
      <c r="Z281" s="54"/>
      <c r="AA281" s="54"/>
      <c r="AB281" s="54"/>
      <c r="AC281" s="50" t="s">
        <v>201</v>
      </c>
      <c r="AD281" s="51" t="s">
        <v>202</v>
      </c>
      <c r="AE281" s="44">
        <f>ROUND((((X280*E280)/1800)*0.13),4)</f>
        <v>1.32E-2</v>
      </c>
      <c r="AF281" s="44">
        <f>ROUND(((Z280+AA280+AB280)*0.13),4)</f>
        <v>0.14349999999999999</v>
      </c>
    </row>
    <row r="282" spans="1:32" ht="12.95" customHeight="1" x14ac:dyDescent="0.25">
      <c r="A282" s="52"/>
      <c r="B282" s="98"/>
      <c r="C282" s="55"/>
      <c r="D282" s="55"/>
      <c r="E282" s="63"/>
      <c r="F282" s="63"/>
      <c r="G282" s="52"/>
      <c r="H282" s="52"/>
      <c r="I282" s="52"/>
      <c r="J282" s="52"/>
      <c r="K282" s="52"/>
      <c r="L282" s="59">
        <v>0.51</v>
      </c>
      <c r="M282" s="59">
        <v>0.63</v>
      </c>
      <c r="N282" s="52"/>
      <c r="O282" s="52"/>
      <c r="P282" s="63"/>
      <c r="Q282" s="63"/>
      <c r="R282" s="63"/>
      <c r="S282" s="60">
        <v>0.25</v>
      </c>
      <c r="T282" s="48">
        <f>ROUND((L282*I280+1.3*L282*K280+S282*H280),4)</f>
        <v>588.97950000000003</v>
      </c>
      <c r="U282" s="48">
        <f>ROUND((M282*0.9*I280+1.3*M282*0.9*K280+S282*H280),4)</f>
        <v>653.13019999999995</v>
      </c>
      <c r="V282" s="48">
        <f>ROUND((M282*I280+1.3*M282*K280+S282*H280),4)</f>
        <v>724.0335</v>
      </c>
      <c r="W282" s="48">
        <f>ROUND((L282*J280+1.3*L282*N280+S282*G280),4)</f>
        <v>15.27</v>
      </c>
      <c r="X282" s="48">
        <f>ROUND((M282*0.9*J280+1.3*M282*0.9*N280+S282*G280),4)</f>
        <v>16.809000000000001</v>
      </c>
      <c r="Y282" s="48">
        <f>ROUND((M282*J280+1.3*M282*N280+S282*G280),4)</f>
        <v>18.510000000000002</v>
      </c>
      <c r="Z282" s="49">
        <f>ROUND((P280*T282*F280*O280/1000000),4)</f>
        <v>7.0699999999999999E-2</v>
      </c>
      <c r="AA282" s="49">
        <f>ROUND((Q280*U282*F280*O280/1000000),4)</f>
        <v>1.9599999999999999E-2</v>
      </c>
      <c r="AB282" s="49">
        <f>ROUND((R280*V282*F280*O280/1000000),4)</f>
        <v>0</v>
      </c>
      <c r="AC282" s="50" t="s">
        <v>203</v>
      </c>
      <c r="AD282" s="51" t="s">
        <v>204</v>
      </c>
      <c r="AE282" s="44">
        <f>ROUND((((X282*E280)/1800)),4)</f>
        <v>9.2999999999999992E-3</v>
      </c>
      <c r="AF282" s="44">
        <f>ROUND(((Z282+AA282+AB282)),5)</f>
        <v>9.0300000000000005E-2</v>
      </c>
    </row>
    <row r="283" spans="1:32" ht="12.95" customHeight="1" x14ac:dyDescent="0.25">
      <c r="A283" s="52"/>
      <c r="B283" s="53"/>
      <c r="C283" s="52"/>
      <c r="D283" s="52"/>
      <c r="E283" s="63"/>
      <c r="F283" s="63"/>
      <c r="G283" s="52"/>
      <c r="H283" s="52"/>
      <c r="I283" s="52"/>
      <c r="J283" s="52"/>
      <c r="K283" s="52"/>
      <c r="L283" s="59">
        <v>1.1399999999999999</v>
      </c>
      <c r="M283" s="59">
        <v>1.37</v>
      </c>
      <c r="N283" s="52"/>
      <c r="O283" s="52"/>
      <c r="P283" s="63"/>
      <c r="Q283" s="63"/>
      <c r="R283" s="63"/>
      <c r="S283" s="61">
        <v>0.79</v>
      </c>
      <c r="T283" s="48">
        <f>ROUND((L283*I280+1.3*L283*K280+S283*H280),4)</f>
        <v>1330.413</v>
      </c>
      <c r="U283" s="48">
        <f>ROUND((M283*0.9*I280+1.3*M283*0.9*K280+S283*H280),4)</f>
        <v>1435.0799</v>
      </c>
      <c r="V283" s="48">
        <f>ROUND((M283*I280+1.3*M283*K280+S283*H280),4)</f>
        <v>1589.2665</v>
      </c>
      <c r="W283" s="48">
        <f>ROUND((L283*J280+1.3*L283*N280+S283*G280),4)</f>
        <v>35.520000000000003</v>
      </c>
      <c r="X283" s="48">
        <f>ROUND((M283*0.9*J280+1.3*M283*0.9*N280+S283*G280),4)</f>
        <v>38.030999999999999</v>
      </c>
      <c r="Y283" s="48">
        <f>ROUND((M283*J280+1.3*N280+S283*G280),4)</f>
        <v>36.92</v>
      </c>
      <c r="Z283" s="49">
        <f>ROUND((P280*T283*F280*O280/1000000),4)</f>
        <v>0.15959999999999999</v>
      </c>
      <c r="AA283" s="49">
        <f>ROUND((Q280*U283*F280*O280/1000000),4)</f>
        <v>4.3099999999999999E-2</v>
      </c>
      <c r="AB283" s="49">
        <f>ROUND((R280*V283*F280*O280/1000000),4)</f>
        <v>0</v>
      </c>
      <c r="AC283" s="50" t="s">
        <v>205</v>
      </c>
      <c r="AD283" s="51" t="s">
        <v>206</v>
      </c>
      <c r="AE283" s="44">
        <f>ROUND((((X283*E280)/1800)),4)</f>
        <v>2.1100000000000001E-2</v>
      </c>
      <c r="AF283" s="44">
        <f>ROUND(((Z283+AA283+AB283)),4)</f>
        <v>0.20269999999999999</v>
      </c>
    </row>
    <row r="284" spans="1:32" ht="12.95" customHeight="1" x14ac:dyDescent="0.25">
      <c r="A284" s="52"/>
      <c r="B284" s="53"/>
      <c r="C284" s="52"/>
      <c r="D284" s="52"/>
      <c r="E284" s="63"/>
      <c r="F284" s="63"/>
      <c r="G284" s="52"/>
      <c r="H284" s="52"/>
      <c r="I284" s="52"/>
      <c r="J284" s="52"/>
      <c r="K284" s="52"/>
      <c r="L284" s="59">
        <v>0.72</v>
      </c>
      <c r="M284" s="59">
        <v>1.08</v>
      </c>
      <c r="N284" s="52"/>
      <c r="O284" s="52"/>
      <c r="P284" s="63"/>
      <c r="Q284" s="63"/>
      <c r="R284" s="63"/>
      <c r="S284" s="61">
        <v>0.17</v>
      </c>
      <c r="T284" s="48">
        <f>ROUND((L284*I280+1.3*L284*K280+S284*H280),4)</f>
        <v>820.524</v>
      </c>
      <c r="U284" s="48">
        <f>ROUND((M284*0.9*I280+1.3*M284*0.9*K280+S284*H280),4)</f>
        <v>1104.1374000000001</v>
      </c>
      <c r="V284" s="48">
        <f>ROUND((M284*I280+1.3*M284*K280+S284*H280),4)</f>
        <v>1225.6859999999999</v>
      </c>
      <c r="W284" s="48">
        <f>ROUND((L284*J280+1.3*L284*N280+S284*G280),4)</f>
        <v>20.46</v>
      </c>
      <c r="X284" s="48">
        <f>ROUND((M284*0.9*J280+1.3*M284*0.9*N280+S284*G280),4)</f>
        <v>27.263999999999999</v>
      </c>
      <c r="Y284" s="48">
        <f>ROUND((M284*J280+1.3*M284*N280+S284*G280),4)</f>
        <v>30.18</v>
      </c>
      <c r="Z284" s="49">
        <f>ROUND((P280*T284*F280*O280/1000000),4)</f>
        <v>9.8500000000000004E-2</v>
      </c>
      <c r="AA284" s="49">
        <f>ROUND((Q280*U284*F280*O280/1000000),4)</f>
        <v>3.3099999999999997E-2</v>
      </c>
      <c r="AB284" s="49">
        <f>ROUND((R280*V284*F280*O280/1000000),4)</f>
        <v>0</v>
      </c>
      <c r="AC284" s="50" t="s">
        <v>250</v>
      </c>
      <c r="AD284" s="51" t="s">
        <v>208</v>
      </c>
      <c r="AE284" s="44">
        <f>ROUND((((X284*E280)/1800)),4)</f>
        <v>1.5100000000000001E-2</v>
      </c>
      <c r="AF284" s="44">
        <f>ROUND(((Z284+AA284+AB284)),4)</f>
        <v>0.13159999999999999</v>
      </c>
    </row>
    <row r="285" spans="1:32" ht="12.95" customHeight="1" x14ac:dyDescent="0.25">
      <c r="A285" s="52"/>
      <c r="B285" s="62"/>
      <c r="C285" s="56"/>
      <c r="D285" s="56"/>
      <c r="E285" s="66"/>
      <c r="F285" s="66"/>
      <c r="G285" s="56"/>
      <c r="H285" s="56"/>
      <c r="I285" s="56"/>
      <c r="J285" s="56"/>
      <c r="K285" s="56"/>
      <c r="L285" s="59">
        <v>3.37</v>
      </c>
      <c r="M285" s="59">
        <v>4.1100000000000003</v>
      </c>
      <c r="N285" s="56"/>
      <c r="O285" s="56"/>
      <c r="P285" s="66"/>
      <c r="Q285" s="66"/>
      <c r="R285" s="66"/>
      <c r="S285" s="61">
        <v>6.31</v>
      </c>
      <c r="T285" s="48">
        <f>ROUND((L285*I280+1.3*L285*K280+S285*H280),4)</f>
        <v>4171.3665000000001</v>
      </c>
      <c r="U285" s="48">
        <f>ROUND((M285*0.9*I280+1.3*M285*0.9*K280+S285*H280),4)</f>
        <v>4541.6396000000004</v>
      </c>
      <c r="V285" s="48">
        <f>ROUND((M285*I280+1.3*M285*K280+S285*H280),4)</f>
        <v>5004.1994999999997</v>
      </c>
      <c r="W285" s="48">
        <f>ROUND((L285*J280+1.3*L285*N280+S285*G280),4)</f>
        <v>128.85</v>
      </c>
      <c r="X285" s="48">
        <f>ROUND((M285*0.9*J280+1.3*M285*0.9*N280+S285*G280),4)</f>
        <v>137.733</v>
      </c>
      <c r="Y285" s="48">
        <f>ROUND((M285*J280+1.3*M285*N280+S285*G280),4)</f>
        <v>148.83000000000001</v>
      </c>
      <c r="Z285" s="49">
        <f>ROUND((P280*T285*F280*O280/1000000),4)</f>
        <v>0.50060000000000004</v>
      </c>
      <c r="AA285" s="49">
        <f>ROUND((Q280*U285*F280*O280/1000000),4)</f>
        <v>0.13619999999999999</v>
      </c>
      <c r="AB285" s="49">
        <f>ROUND((R280*V285*F280*O280/1000000),4)</f>
        <v>0</v>
      </c>
      <c r="AC285" s="50" t="s">
        <v>170</v>
      </c>
      <c r="AD285" s="51" t="s">
        <v>162</v>
      </c>
      <c r="AE285" s="44">
        <f>ROUND((((X285*E280)/1800)),4)</f>
        <v>7.6499999999999999E-2</v>
      </c>
      <c r="AF285" s="44">
        <f>ROUND(((Z285+AA285+AB285)),4)</f>
        <v>0.63680000000000003</v>
      </c>
    </row>
    <row r="286" spans="1:32" ht="12.95" customHeight="1" x14ac:dyDescent="0.25">
      <c r="A286" s="52"/>
      <c r="B286" s="67" t="s">
        <v>214</v>
      </c>
      <c r="C286" s="46">
        <v>6</v>
      </c>
      <c r="D286" s="45" t="s">
        <v>210</v>
      </c>
      <c r="E286" s="45">
        <v>1</v>
      </c>
      <c r="F286" s="45">
        <v>4</v>
      </c>
      <c r="G286" s="45">
        <v>6</v>
      </c>
      <c r="H286" s="45">
        <v>60</v>
      </c>
      <c r="I286" s="45">
        <f>(8-1-0.75*2)*60*F286-K286-8*0.12*60</f>
        <v>404.4</v>
      </c>
      <c r="J286" s="45">
        <v>14</v>
      </c>
      <c r="K286" s="45">
        <f>(8-1-0.75*2)*0.65*60*F286</f>
        <v>858</v>
      </c>
      <c r="L286" s="48">
        <v>6.47</v>
      </c>
      <c r="M286" s="48">
        <v>6.47</v>
      </c>
      <c r="N286" s="45">
        <v>10</v>
      </c>
      <c r="O286" s="45">
        <f>E286/F286</f>
        <v>0.25</v>
      </c>
      <c r="P286" s="45">
        <v>120</v>
      </c>
      <c r="Q286" s="45">
        <v>0</v>
      </c>
      <c r="R286" s="47">
        <v>0</v>
      </c>
      <c r="S286" s="47">
        <v>1.27</v>
      </c>
      <c r="T286" s="48">
        <f>ROUND((L286*I286+1.3*L286*K286+S286*H286),4)</f>
        <v>9909.3060000000005</v>
      </c>
      <c r="U286" s="48">
        <f>ROUND((M286*I286+1.3*M286*K286+S286*H286),4)</f>
        <v>9909.3060000000005</v>
      </c>
      <c r="V286" s="48">
        <f>ROUND((M286*I286+1.3*M286*K286+S286*H286),4)</f>
        <v>9909.3060000000005</v>
      </c>
      <c r="W286" s="48">
        <f>ROUND((L286*J286+1.3*L286*N286+S286*G286),4)</f>
        <v>182.31</v>
      </c>
      <c r="X286" s="48">
        <f>ROUND((M286*J286+1.3*M286*N286+S286*G286),4)</f>
        <v>182.31</v>
      </c>
      <c r="Y286" s="48">
        <f>ROUND((M286*J286+1.3*M286*N286+S286*G286),4)</f>
        <v>182.31</v>
      </c>
      <c r="Z286" s="49">
        <f>ROUND((P286*T286*F286*O286/1000000),4)</f>
        <v>1.1891</v>
      </c>
      <c r="AA286" s="49">
        <f>ROUND((Q286*U286*F286*O286/1000000),4)</f>
        <v>0</v>
      </c>
      <c r="AB286" s="49">
        <f>ROUND((R286*V286*F286*O286/1000000),4)</f>
        <v>0</v>
      </c>
      <c r="AC286" s="50" t="s">
        <v>200</v>
      </c>
      <c r="AD286" s="51" t="s">
        <v>153</v>
      </c>
      <c r="AE286" s="44">
        <f>ROUND((((X286*E286)/1800)*0.8),4)</f>
        <v>8.1000000000000003E-2</v>
      </c>
      <c r="AF286" s="44">
        <f>ROUND(((Z286+AA286+AB286)*0.8),4)</f>
        <v>0.95130000000000003</v>
      </c>
    </row>
    <row r="287" spans="1:32" ht="12.95" customHeight="1" x14ac:dyDescent="0.25">
      <c r="A287" s="52"/>
      <c r="B287" s="53" t="s">
        <v>215</v>
      </c>
      <c r="C287" s="52"/>
      <c r="D287" s="52"/>
      <c r="E287" s="52"/>
      <c r="F287" s="52"/>
      <c r="G287" s="52"/>
      <c r="H287" s="52"/>
      <c r="I287" s="52"/>
      <c r="J287" s="52"/>
      <c r="K287" s="52"/>
      <c r="L287" s="56"/>
      <c r="M287" s="56"/>
      <c r="N287" s="52"/>
      <c r="O287" s="52"/>
      <c r="P287" s="63"/>
      <c r="Q287" s="63"/>
      <c r="R287" s="52"/>
      <c r="S287" s="57"/>
      <c r="T287" s="54"/>
      <c r="U287" s="54"/>
      <c r="V287" s="54"/>
      <c r="W287" s="54"/>
      <c r="X287" s="54"/>
      <c r="Y287" s="54"/>
      <c r="Z287" s="54"/>
      <c r="AA287" s="54"/>
      <c r="AB287" s="54"/>
      <c r="AC287" s="50" t="s">
        <v>201</v>
      </c>
      <c r="AD287" s="51" t="s">
        <v>202</v>
      </c>
      <c r="AE287" s="44">
        <f>ROUND((((X286*E286)/1800)*0.13),4)</f>
        <v>1.32E-2</v>
      </c>
      <c r="AF287" s="44">
        <f>ROUND(((Z286+AA286+AB286)*0.13),4)</f>
        <v>0.15459999999999999</v>
      </c>
    </row>
    <row r="288" spans="1:32" ht="12.95" customHeight="1" x14ac:dyDescent="0.25">
      <c r="A288" s="52"/>
      <c r="B288" s="88"/>
      <c r="C288" s="55"/>
      <c r="D288" s="55"/>
      <c r="E288" s="52"/>
      <c r="F288" s="52"/>
      <c r="G288" s="52"/>
      <c r="H288" s="52"/>
      <c r="I288" s="52"/>
      <c r="J288" s="52"/>
      <c r="K288" s="52"/>
      <c r="L288" s="59">
        <v>0.51</v>
      </c>
      <c r="M288" s="59">
        <v>0.63</v>
      </c>
      <c r="N288" s="52"/>
      <c r="O288" s="52"/>
      <c r="P288" s="63"/>
      <c r="Q288" s="63"/>
      <c r="R288" s="52"/>
      <c r="S288" s="60">
        <v>0.25</v>
      </c>
      <c r="T288" s="48">
        <f>ROUND((L288*I286+1.3*L288*K286+S288*H286),4)</f>
        <v>790.09799999999996</v>
      </c>
      <c r="U288" s="48">
        <f>ROUND((M288*0.9*I286+1.3*M288*0.9*K286+S288*H286),4)</f>
        <v>876.72659999999996</v>
      </c>
      <c r="V288" s="48">
        <f>ROUND((M288*I286+1.3*M288*K286+S288*H286),4)</f>
        <v>972.47400000000005</v>
      </c>
      <c r="W288" s="48">
        <f>ROUND((L288*J286+1.3*L288*N286+S288*G286),4)</f>
        <v>15.27</v>
      </c>
      <c r="X288" s="48">
        <f>ROUND((M288*0.9*J286+1.3*M288*0.9*N286+S288*G286),4)</f>
        <v>16.809000000000001</v>
      </c>
      <c r="Y288" s="48">
        <f>ROUND((M288*J286+1.3*M288*N286+S288*G286),4)</f>
        <v>18.510000000000002</v>
      </c>
      <c r="Z288" s="49">
        <f>ROUND((P286*T288*F286*O286/1000000),4)</f>
        <v>9.4799999999999995E-2</v>
      </c>
      <c r="AA288" s="49">
        <f>ROUND((Q286*U288*F286*O286/1000000),4)</f>
        <v>0</v>
      </c>
      <c r="AB288" s="49">
        <f>ROUND((R286*V288*F286*O286/1000000),4)</f>
        <v>0</v>
      </c>
      <c r="AC288" s="50" t="s">
        <v>203</v>
      </c>
      <c r="AD288" s="51" t="s">
        <v>204</v>
      </c>
      <c r="AE288" s="44">
        <f>ROUND((((X288*E286)/1800)),4)</f>
        <v>9.2999999999999992E-3</v>
      </c>
      <c r="AF288" s="44">
        <f>ROUND(((Z288+AA288+AB288)),5)</f>
        <v>9.4799999999999995E-2</v>
      </c>
    </row>
    <row r="289" spans="1:32" ht="12.95" customHeight="1" x14ac:dyDescent="0.25">
      <c r="A289" s="52"/>
      <c r="B289" s="88"/>
      <c r="C289" s="52"/>
      <c r="D289" s="52"/>
      <c r="E289" s="52"/>
      <c r="F289" s="52"/>
      <c r="G289" s="52"/>
      <c r="H289" s="52"/>
      <c r="I289" s="52"/>
      <c r="J289" s="52"/>
      <c r="K289" s="52"/>
      <c r="L289" s="59">
        <v>1.1399999999999999</v>
      </c>
      <c r="M289" s="59">
        <v>1.37</v>
      </c>
      <c r="N289" s="52"/>
      <c r="O289" s="52"/>
      <c r="P289" s="63"/>
      <c r="Q289" s="63"/>
      <c r="R289" s="52"/>
      <c r="S289" s="61">
        <v>0.79</v>
      </c>
      <c r="T289" s="48">
        <f>ROUND((L289*I286+1.3*L289*K286+S289*H286),4)</f>
        <v>1779.972</v>
      </c>
      <c r="U289" s="48">
        <f>ROUND((M289*0.9*I286+1.3*M289*0.9*K286+S289*H286),4)</f>
        <v>1921.3134</v>
      </c>
      <c r="V289" s="48">
        <f>ROUND((M289*I286+1.3*M289*K286+S289*H286),4)</f>
        <v>2129.5259999999998</v>
      </c>
      <c r="W289" s="48">
        <f>ROUND((L289*J286+1.3*L289*N286+S289*G286),4)</f>
        <v>35.520000000000003</v>
      </c>
      <c r="X289" s="48">
        <f>ROUND((M289*0.9*J286+1.3*M289*0.9*N286+S289*G286),4)</f>
        <v>38.030999999999999</v>
      </c>
      <c r="Y289" s="48">
        <f>ROUND((M289*J286+1.3*N286+S289*G286),4)</f>
        <v>36.92</v>
      </c>
      <c r="Z289" s="49">
        <f>ROUND((P286*T289*F286*O286/1000000),4)</f>
        <v>0.21360000000000001</v>
      </c>
      <c r="AA289" s="49">
        <f>ROUND((Q286*U289*F286*O286/1000000),4)</f>
        <v>0</v>
      </c>
      <c r="AB289" s="49">
        <f>ROUND((R286*V289*F286*O286/1000000),4)</f>
        <v>0</v>
      </c>
      <c r="AC289" s="50" t="s">
        <v>205</v>
      </c>
      <c r="AD289" s="51" t="s">
        <v>206</v>
      </c>
      <c r="AE289" s="44">
        <f>ROUND((((X289*E286)/1800)),4)</f>
        <v>2.1100000000000001E-2</v>
      </c>
      <c r="AF289" s="44">
        <f>ROUND(((Z289+AA289+AB289)),4)</f>
        <v>0.21360000000000001</v>
      </c>
    </row>
    <row r="290" spans="1:32" ht="12.95" customHeight="1" x14ac:dyDescent="0.25">
      <c r="A290" s="52"/>
      <c r="B290" s="53"/>
      <c r="C290" s="52"/>
      <c r="D290" s="52"/>
      <c r="E290" s="52"/>
      <c r="F290" s="52"/>
      <c r="G290" s="52"/>
      <c r="H290" s="52"/>
      <c r="I290" s="52"/>
      <c r="J290" s="52"/>
      <c r="K290" s="52"/>
      <c r="L290" s="59">
        <v>0.72</v>
      </c>
      <c r="M290" s="59">
        <v>1.08</v>
      </c>
      <c r="N290" s="52"/>
      <c r="O290" s="52"/>
      <c r="P290" s="63"/>
      <c r="Q290" s="63"/>
      <c r="R290" s="52"/>
      <c r="S290" s="61">
        <v>0.17</v>
      </c>
      <c r="T290" s="48">
        <f>ROUND((L290*I286+1.3*L290*K286+S290*H286),4)</f>
        <v>1104.4559999999999</v>
      </c>
      <c r="U290" s="48">
        <f>ROUND((M290*0.9*I286+1.3*M290*0.9*K286+S290*H286),4)</f>
        <v>1487.4456</v>
      </c>
      <c r="V290" s="48">
        <f>ROUND((M290*I286+1.3*M290*K286+S290*H286),4)</f>
        <v>1651.5840000000001</v>
      </c>
      <c r="W290" s="48">
        <f>ROUND((L290*J286+1.3*L290*N286+S290*G286),4)</f>
        <v>20.46</v>
      </c>
      <c r="X290" s="48">
        <f>ROUND((M290*0.9*J286+1.3*M290*0.9*N286+S290*G286),4)</f>
        <v>27.263999999999999</v>
      </c>
      <c r="Y290" s="48">
        <f>ROUND((M290*J286+1.3*M290*N286+S290*G286),4)</f>
        <v>30.18</v>
      </c>
      <c r="Z290" s="49">
        <f>ROUND((P286*T290*F286*O286/1000000),4)</f>
        <v>0.13250000000000001</v>
      </c>
      <c r="AA290" s="49">
        <f>ROUND((Q286*U290*F286*O286/1000000),4)</f>
        <v>0</v>
      </c>
      <c r="AB290" s="49">
        <f>ROUND((R286*V290*F286*O286/1000000),4)</f>
        <v>0</v>
      </c>
      <c r="AC290" s="50" t="s">
        <v>250</v>
      </c>
      <c r="AD290" s="51" t="s">
        <v>208</v>
      </c>
      <c r="AE290" s="44">
        <f>ROUND((((X290*E286)/1800)),4)</f>
        <v>1.5100000000000001E-2</v>
      </c>
      <c r="AF290" s="44">
        <f>ROUND(((Z290+AA290+AB290)),4)</f>
        <v>0.13250000000000001</v>
      </c>
    </row>
    <row r="291" spans="1:32" ht="12.95" customHeight="1" x14ac:dyDescent="0.25">
      <c r="A291" s="52"/>
      <c r="B291" s="62"/>
      <c r="C291" s="56"/>
      <c r="D291" s="56"/>
      <c r="E291" s="56"/>
      <c r="F291" s="56"/>
      <c r="G291" s="56"/>
      <c r="H291" s="56"/>
      <c r="I291" s="56"/>
      <c r="J291" s="56"/>
      <c r="K291" s="56"/>
      <c r="L291" s="59">
        <v>3.37</v>
      </c>
      <c r="M291" s="59">
        <v>4.1100000000000003</v>
      </c>
      <c r="N291" s="56"/>
      <c r="O291" s="56"/>
      <c r="P291" s="66"/>
      <c r="Q291" s="66"/>
      <c r="R291" s="56"/>
      <c r="S291" s="61">
        <v>6.31</v>
      </c>
      <c r="T291" s="48">
        <f>ROUND((L291*I286+1.3*L291*K286+S291*H286),4)</f>
        <v>5500.326</v>
      </c>
      <c r="U291" s="48">
        <f>ROUND((M291*0.9*I286+1.3*M291*0.9*K286+S291*H286),4)</f>
        <v>6000.3401999999996</v>
      </c>
      <c r="V291" s="48">
        <f>ROUND((M291*I286+1.3*M291*K286+S291*H286),4)</f>
        <v>6624.9780000000001</v>
      </c>
      <c r="W291" s="48">
        <f>ROUND((L291*J286+1.3*L291*N286+S291*G286),4)</f>
        <v>128.85</v>
      </c>
      <c r="X291" s="48">
        <f>ROUND((M291*0.9*J286+1.3*M291*0.9*N286+S291*G286),4)</f>
        <v>137.733</v>
      </c>
      <c r="Y291" s="48">
        <f>ROUND((M291*J286+1.3*M291*N286+S291*G286),4)</f>
        <v>148.83000000000001</v>
      </c>
      <c r="Z291" s="49">
        <f>ROUND((P286*T291*F286*O286/1000000),4)</f>
        <v>0.66</v>
      </c>
      <c r="AA291" s="49">
        <f>ROUND((Q286*U291*F286*O286/1000000),4)</f>
        <v>0</v>
      </c>
      <c r="AB291" s="49">
        <f>ROUND((R286*V291*F286*O286/1000000),4)</f>
        <v>0</v>
      </c>
      <c r="AC291" s="50" t="s">
        <v>170</v>
      </c>
      <c r="AD291" s="51" t="s">
        <v>162</v>
      </c>
      <c r="AE291" s="44">
        <f>ROUND((((X291*E286)/1800)),4)</f>
        <v>7.6499999999999999E-2</v>
      </c>
      <c r="AF291" s="44">
        <f>ROUND(((Z291+AA291+AB291)),4)</f>
        <v>0.66</v>
      </c>
    </row>
    <row r="292" spans="1:32" ht="12.95" customHeight="1" x14ac:dyDescent="0.25">
      <c r="A292" s="52"/>
      <c r="B292" s="67" t="s">
        <v>214</v>
      </c>
      <c r="C292" s="46">
        <v>7</v>
      </c>
      <c r="D292" s="45" t="s">
        <v>217</v>
      </c>
      <c r="E292" s="45">
        <v>1</v>
      </c>
      <c r="F292" s="45">
        <v>4</v>
      </c>
      <c r="G292" s="45">
        <v>6</v>
      </c>
      <c r="H292" s="45">
        <v>60</v>
      </c>
      <c r="I292" s="45">
        <f>(8-1-0.75*2)*60*F292-K292-8*0.12*60</f>
        <v>404.4</v>
      </c>
      <c r="J292" s="45">
        <v>14</v>
      </c>
      <c r="K292" s="45">
        <f>(8-1-0.75*2)*0.65*60*F292</f>
        <v>858</v>
      </c>
      <c r="L292" s="48">
        <v>10.16</v>
      </c>
      <c r="M292" s="48">
        <v>10.16</v>
      </c>
      <c r="N292" s="45">
        <v>10</v>
      </c>
      <c r="O292" s="45">
        <f>E292/F292</f>
        <v>0.25</v>
      </c>
      <c r="P292" s="45">
        <v>120</v>
      </c>
      <c r="Q292" s="45">
        <v>0</v>
      </c>
      <c r="R292" s="47">
        <v>0</v>
      </c>
      <c r="S292" s="47">
        <v>1.99</v>
      </c>
      <c r="T292" s="48">
        <f>ROUND((L292*I292+1.3*L292*K292+S292*H292),4)</f>
        <v>15560.567999999999</v>
      </c>
      <c r="U292" s="48">
        <f>ROUND((M292*I292+1.3*M292*K292+S292*H292),4)</f>
        <v>15560.567999999999</v>
      </c>
      <c r="V292" s="48">
        <f>ROUND((M292*I292+1.3*M292*K292+S292*H292),4)</f>
        <v>15560.567999999999</v>
      </c>
      <c r="W292" s="48">
        <f>ROUND((L292*J292+1.3*L292*N292+S292*G292),4)</f>
        <v>286.26</v>
      </c>
      <c r="X292" s="48">
        <f>ROUND((M292*J292+1.3*M292*N292+S292*G292),4)</f>
        <v>286.26</v>
      </c>
      <c r="Y292" s="48">
        <f>ROUND((M292*J292+1.3*M292*N292+S292*G292),4)</f>
        <v>286.26</v>
      </c>
      <c r="Z292" s="49">
        <f>ROUND((P292*T292*F292*O292/1000000),4)</f>
        <v>1.8673</v>
      </c>
      <c r="AA292" s="49">
        <f>ROUND((Q292*U292*F292*O292/1000000),4)</f>
        <v>0</v>
      </c>
      <c r="AB292" s="49">
        <f>ROUND((R292*V292*F292*O292/1000000),4)</f>
        <v>0</v>
      </c>
      <c r="AC292" s="50" t="s">
        <v>200</v>
      </c>
      <c r="AD292" s="51" t="s">
        <v>153</v>
      </c>
      <c r="AE292" s="44">
        <f>ROUND((((X292*E292)/1800)*0.8),4)</f>
        <v>0.12720000000000001</v>
      </c>
      <c r="AF292" s="44">
        <f>ROUND(((Z292+AA292+AB292)*0.8),4)</f>
        <v>1.4938</v>
      </c>
    </row>
    <row r="293" spans="1:32" ht="12.95" customHeight="1" x14ac:dyDescent="0.25">
      <c r="A293" s="52"/>
      <c r="B293" s="53" t="s">
        <v>216</v>
      </c>
      <c r="C293" s="52"/>
      <c r="D293" s="52"/>
      <c r="E293" s="52"/>
      <c r="F293" s="63"/>
      <c r="G293" s="52"/>
      <c r="H293" s="52"/>
      <c r="I293" s="52"/>
      <c r="J293" s="52"/>
      <c r="K293" s="52"/>
      <c r="L293" s="56"/>
      <c r="M293" s="56"/>
      <c r="N293" s="52"/>
      <c r="O293" s="52"/>
      <c r="P293" s="52"/>
      <c r="Q293" s="52"/>
      <c r="R293" s="52"/>
      <c r="S293" s="57"/>
      <c r="T293" s="54"/>
      <c r="U293" s="54"/>
      <c r="V293" s="54"/>
      <c r="W293" s="54"/>
      <c r="X293" s="54"/>
      <c r="Y293" s="54"/>
      <c r="Z293" s="54"/>
      <c r="AA293" s="54"/>
      <c r="AB293" s="54"/>
      <c r="AC293" s="50" t="s">
        <v>201</v>
      </c>
      <c r="AD293" s="51" t="s">
        <v>202</v>
      </c>
      <c r="AE293" s="44">
        <f>ROUND((((X292*E292)/1800)*0.13),4)</f>
        <v>2.07E-2</v>
      </c>
      <c r="AF293" s="44">
        <f>ROUND(((Z292+AA292+AB292)*0.13),4)</f>
        <v>0.2427</v>
      </c>
    </row>
    <row r="294" spans="1:32" ht="12.95" customHeight="1" x14ac:dyDescent="0.25">
      <c r="A294" s="52"/>
      <c r="B294" s="88"/>
      <c r="C294" s="55"/>
      <c r="D294" s="55"/>
      <c r="E294" s="52"/>
      <c r="F294" s="63"/>
      <c r="G294" s="52"/>
      <c r="H294" s="52"/>
      <c r="I294" s="52"/>
      <c r="J294" s="52"/>
      <c r="K294" s="52"/>
      <c r="L294" s="59">
        <v>0.8</v>
      </c>
      <c r="M294" s="59">
        <v>0.98</v>
      </c>
      <c r="N294" s="52"/>
      <c r="O294" s="52"/>
      <c r="P294" s="52"/>
      <c r="Q294" s="52"/>
      <c r="R294" s="52"/>
      <c r="S294" s="60">
        <v>0.39</v>
      </c>
      <c r="T294" s="48">
        <f>ROUND((L294*I292+1.3*L294*K292+S294*H292),4)</f>
        <v>1239.24</v>
      </c>
      <c r="U294" s="48">
        <f>ROUND((M294*0.9*I292+1.3*M294*0.9*K292+S294*H292),4)</f>
        <v>1363.8635999999999</v>
      </c>
      <c r="V294" s="48">
        <f>ROUND((M294*I292+1.3*M294*K292+S294*H292),4)</f>
        <v>1512.8040000000001</v>
      </c>
      <c r="W294" s="48">
        <f>ROUND((L294*J292+1.3*L294*N292+S294*G292),4)</f>
        <v>23.94</v>
      </c>
      <c r="X294" s="48">
        <f>ROUND((M294*0.9*J292+1.3*M294*0.9*N292+S294*G292),4)</f>
        <v>26.154</v>
      </c>
      <c r="Y294" s="48">
        <f>ROUND((M294*J292+1.3*M294*N292+S294*G292),4)</f>
        <v>28.8</v>
      </c>
      <c r="Z294" s="49">
        <f>ROUND((P292*T294*F292*O292/1000000),4)</f>
        <v>0.1487</v>
      </c>
      <c r="AA294" s="49">
        <f>ROUND((Q292*U294*F292*O292/1000000),4)</f>
        <v>0</v>
      </c>
      <c r="AB294" s="49">
        <f>ROUND((R292*V294*F292*O292/1000000),4)</f>
        <v>0</v>
      </c>
      <c r="AC294" s="50" t="s">
        <v>203</v>
      </c>
      <c r="AD294" s="51" t="s">
        <v>204</v>
      </c>
      <c r="AE294" s="44">
        <f>ROUND((((X294*E292)/1800)),4)</f>
        <v>1.4500000000000001E-2</v>
      </c>
      <c r="AF294" s="44">
        <f>ROUND(((Z294+AA294+AB294)),5)</f>
        <v>0.1487</v>
      </c>
    </row>
    <row r="295" spans="1:32" ht="12.95" customHeight="1" x14ac:dyDescent="0.25">
      <c r="A295" s="52"/>
      <c r="B295" s="88"/>
      <c r="C295" s="52"/>
      <c r="D295" s="52"/>
      <c r="E295" s="52"/>
      <c r="F295" s="63"/>
      <c r="G295" s="52"/>
      <c r="H295" s="52"/>
      <c r="I295" s="52"/>
      <c r="J295" s="52"/>
      <c r="K295" s="52"/>
      <c r="L295" s="59">
        <v>1.79</v>
      </c>
      <c r="M295" s="59">
        <v>2.15</v>
      </c>
      <c r="N295" s="52"/>
      <c r="O295" s="52"/>
      <c r="P295" s="52"/>
      <c r="Q295" s="52"/>
      <c r="R295" s="52"/>
      <c r="S295" s="61">
        <v>1.24</v>
      </c>
      <c r="T295" s="48">
        <f>ROUND((L295*I292+1.3*L295*K292+S295*H292),4)</f>
        <v>2794.8420000000001</v>
      </c>
      <c r="U295" s="48">
        <f>ROUND((M295*0.9*I292+1.3*M295*0.9*K292+S295*H292),4)</f>
        <v>3015.2130000000002</v>
      </c>
      <c r="V295" s="48">
        <f>ROUND((M295*I292+1.3*M295*K292+S295*H292),4)</f>
        <v>3341.97</v>
      </c>
      <c r="W295" s="48">
        <f>ROUND((L295*J292+1.3*L295*N292+S295*G292),4)</f>
        <v>55.77</v>
      </c>
      <c r="X295" s="48">
        <f>ROUND((M295*0.9*J292+1.3*M295*0.9*N292+S295*G292),4)</f>
        <v>59.685000000000002</v>
      </c>
      <c r="Y295" s="48">
        <f>ROUND((M295*J292+1.3*N292+S295*G292),4)</f>
        <v>50.54</v>
      </c>
      <c r="Z295" s="49">
        <f>ROUND((P292*T295*F292*O292/1000000),4)</f>
        <v>0.33539999999999998</v>
      </c>
      <c r="AA295" s="49">
        <f>ROUND((Q292*U295*F292*O292/1000000),4)</f>
        <v>0</v>
      </c>
      <c r="AB295" s="49">
        <f>ROUND((R292*V295*F292*O292/1000000),4)</f>
        <v>0</v>
      </c>
      <c r="AC295" s="50" t="s">
        <v>205</v>
      </c>
      <c r="AD295" s="51" t="s">
        <v>206</v>
      </c>
      <c r="AE295" s="44">
        <f>ROUND((((X295*E292)/1800)),4)</f>
        <v>3.32E-2</v>
      </c>
      <c r="AF295" s="44">
        <f>ROUND(((Z295+AA295+AB295)),4)</f>
        <v>0.33539999999999998</v>
      </c>
    </row>
    <row r="296" spans="1:32" ht="12.95" customHeight="1" x14ac:dyDescent="0.25">
      <c r="A296" s="52"/>
      <c r="B296" s="53"/>
      <c r="C296" s="52"/>
      <c r="D296" s="52"/>
      <c r="E296" s="52"/>
      <c r="F296" s="63"/>
      <c r="G296" s="52"/>
      <c r="H296" s="52"/>
      <c r="I296" s="52"/>
      <c r="J296" s="52"/>
      <c r="K296" s="52"/>
      <c r="L296" s="59">
        <v>1.1299999999999999</v>
      </c>
      <c r="M296" s="59">
        <v>1.7</v>
      </c>
      <c r="N296" s="52"/>
      <c r="O296" s="52"/>
      <c r="P296" s="52"/>
      <c r="Q296" s="52"/>
      <c r="R296" s="52"/>
      <c r="S296" s="61">
        <v>0.26</v>
      </c>
      <c r="T296" s="48">
        <f>ROUND((L296*I292+1.3*L296*K292+S296*H292),4)</f>
        <v>1732.9739999999999</v>
      </c>
      <c r="U296" s="48">
        <f>ROUND((M296*0.9*I292+1.3*M296*0.9*K292+S296*H292),4)</f>
        <v>2340.8939999999998</v>
      </c>
      <c r="V296" s="48">
        <f>ROUND((M296*I292+1.3*M296*K292+S296*H292),4)</f>
        <v>2599.2600000000002</v>
      </c>
      <c r="W296" s="48">
        <f>ROUND((L296*J292+1.3*L296*N292+S296*G292),4)</f>
        <v>32.07</v>
      </c>
      <c r="X296" s="48">
        <f>ROUND((M296*0.9*J292+1.3*M296*0.9*N292+S296*G292),4)</f>
        <v>42.87</v>
      </c>
      <c r="Y296" s="48">
        <f>ROUND((M296*J292+1.3*M296*N292+S296*G292),4)</f>
        <v>47.46</v>
      </c>
      <c r="Z296" s="49">
        <f>ROUND((P292*T296*F292*O292/1000000),4)</f>
        <v>0.20799999999999999</v>
      </c>
      <c r="AA296" s="49">
        <f>ROUND((Q292*U296*F292*O292/1000000),4)</f>
        <v>0</v>
      </c>
      <c r="AB296" s="49">
        <f>ROUND((R292*V296*F292*O292/1000000),4)</f>
        <v>0</v>
      </c>
      <c r="AC296" s="50" t="s">
        <v>250</v>
      </c>
      <c r="AD296" s="51" t="s">
        <v>208</v>
      </c>
      <c r="AE296" s="44">
        <f>ROUND((((X296*E292)/1800)),4)</f>
        <v>2.3800000000000002E-2</v>
      </c>
      <c r="AF296" s="44">
        <f>ROUND(((Z296+AA296+AB296)),4)</f>
        <v>0.20799999999999999</v>
      </c>
    </row>
    <row r="297" spans="1:32" ht="12.95" customHeight="1" x14ac:dyDescent="0.25">
      <c r="A297" s="52"/>
      <c r="B297" s="62"/>
      <c r="C297" s="56"/>
      <c r="D297" s="56"/>
      <c r="E297" s="56"/>
      <c r="F297" s="66"/>
      <c r="G297" s="56"/>
      <c r="H297" s="56"/>
      <c r="I297" s="56"/>
      <c r="J297" s="56"/>
      <c r="K297" s="56"/>
      <c r="L297" s="59">
        <v>5.3</v>
      </c>
      <c r="M297" s="59">
        <v>6.47</v>
      </c>
      <c r="N297" s="56"/>
      <c r="O297" s="56"/>
      <c r="P297" s="56"/>
      <c r="Q297" s="56"/>
      <c r="R297" s="56"/>
      <c r="S297" s="61">
        <v>9.92</v>
      </c>
      <c r="T297" s="48">
        <f>ROUND((L297*I292+1.3*L297*K292+S297*H292),4)</f>
        <v>8650.14</v>
      </c>
      <c r="U297" s="48">
        <f>ROUND((M297*0.9*I292+1.3*M297*0.9*K292+S297*H292),4)</f>
        <v>9444.9953999999998</v>
      </c>
      <c r="V297" s="48">
        <f>ROUND((M297*I292+1.3*M297*K292+S297*H292),4)</f>
        <v>10428.306</v>
      </c>
      <c r="W297" s="48">
        <f>ROUND((L297*J292+1.3*L297*N292+S297*G292),4)</f>
        <v>202.62</v>
      </c>
      <c r="X297" s="48">
        <f>ROUND((M297*0.9*J292+1.3*M297*0.9*N292+S297*G292),4)</f>
        <v>216.74100000000001</v>
      </c>
      <c r="Y297" s="48">
        <f>ROUND((M297*J292+1.3*M297*N292+S297*G292),4)</f>
        <v>234.21</v>
      </c>
      <c r="Z297" s="49">
        <f>ROUND((P292*T297*F292*O292/1000000),4)</f>
        <v>1.038</v>
      </c>
      <c r="AA297" s="49">
        <f>ROUND((Q292*U297*F292*O292/1000000),4)</f>
        <v>0</v>
      </c>
      <c r="AB297" s="49">
        <f>ROUND((R292*V297*F292*O292/1000000),4)</f>
        <v>0</v>
      </c>
      <c r="AC297" s="50" t="s">
        <v>170</v>
      </c>
      <c r="AD297" s="51" t="s">
        <v>162</v>
      </c>
      <c r="AE297" s="44">
        <f>ROUND((((X297*E292)/1800)),4)</f>
        <v>0.12039999999999999</v>
      </c>
      <c r="AF297" s="44">
        <f>ROUND(((Z297+AA297+AB297)),4)</f>
        <v>1.038</v>
      </c>
    </row>
    <row r="298" spans="1:32" ht="12.95" customHeight="1" x14ac:dyDescent="0.25">
      <c r="A298" s="52"/>
      <c r="B298" s="67" t="s">
        <v>220</v>
      </c>
      <c r="C298" s="46">
        <v>7</v>
      </c>
      <c r="D298" s="45" t="s">
        <v>217</v>
      </c>
      <c r="E298" s="45">
        <v>1</v>
      </c>
      <c r="F298" s="45">
        <v>4</v>
      </c>
      <c r="G298" s="45">
        <v>6</v>
      </c>
      <c r="H298" s="45">
        <v>60</v>
      </c>
      <c r="I298" s="45">
        <f>(8-1-0.75*2)*60*F298-K298-8*0.12*60</f>
        <v>404.4</v>
      </c>
      <c r="J298" s="45">
        <v>14</v>
      </c>
      <c r="K298" s="45">
        <f>(8-1-0.75*2)*0.65*60*F298</f>
        <v>858</v>
      </c>
      <c r="L298" s="48">
        <v>10.16</v>
      </c>
      <c r="M298" s="48">
        <v>10.16</v>
      </c>
      <c r="N298" s="45">
        <v>10</v>
      </c>
      <c r="O298" s="45">
        <f>E298/F298</f>
        <v>0.25</v>
      </c>
      <c r="P298" s="45">
        <v>100</v>
      </c>
      <c r="Q298" s="45">
        <v>20</v>
      </c>
      <c r="R298" s="47">
        <v>0</v>
      </c>
      <c r="S298" s="47">
        <v>1.99</v>
      </c>
      <c r="T298" s="48">
        <f>ROUND((L298*I298+1.3*L298*K298+S298*H298),4)</f>
        <v>15560.567999999999</v>
      </c>
      <c r="U298" s="48">
        <f>ROUND((M298*I298+1.3*M298*K298+S298*H298),4)</f>
        <v>15560.567999999999</v>
      </c>
      <c r="V298" s="48">
        <f>ROUND((M298*I298+1.3*M298*K298+S298*H298),4)</f>
        <v>15560.567999999999</v>
      </c>
      <c r="W298" s="48">
        <f>ROUND((L298*J298+1.3*L298*N298+S298*G298),4)</f>
        <v>286.26</v>
      </c>
      <c r="X298" s="48">
        <f>ROUND((M298*J298+1.3*M298*N298+S298*G298),4)</f>
        <v>286.26</v>
      </c>
      <c r="Y298" s="48">
        <f>ROUND((M298*J298+1.3*M298*N298+S298*G298),4)</f>
        <v>286.26</v>
      </c>
      <c r="Z298" s="49">
        <f>ROUND((P298*T298*F298*O298/1000000),4)</f>
        <v>1.5561</v>
      </c>
      <c r="AA298" s="49">
        <f>ROUND((Q298*U298*F298*O298/1000000),4)</f>
        <v>0.31119999999999998</v>
      </c>
      <c r="AB298" s="49">
        <f>ROUND((R298*V298*F298*O298/1000000),4)</f>
        <v>0</v>
      </c>
      <c r="AC298" s="50" t="s">
        <v>200</v>
      </c>
      <c r="AD298" s="51" t="s">
        <v>153</v>
      </c>
      <c r="AE298" s="44">
        <f>ROUND((((X298*E298)/1800)*0.8),4)</f>
        <v>0.12720000000000001</v>
      </c>
      <c r="AF298" s="44">
        <f>ROUND(((Z298+AA298+AB298)*0.8),4)</f>
        <v>1.4938</v>
      </c>
    </row>
    <row r="299" spans="1:32" ht="12.95" customHeight="1" x14ac:dyDescent="0.25">
      <c r="A299" s="52"/>
      <c r="B299" s="53" t="s">
        <v>221</v>
      </c>
      <c r="C299" s="52"/>
      <c r="D299" s="52"/>
      <c r="E299" s="52"/>
      <c r="F299" s="52"/>
      <c r="G299" s="52"/>
      <c r="H299" s="52"/>
      <c r="I299" s="52"/>
      <c r="J299" s="52"/>
      <c r="K299" s="52"/>
      <c r="L299" s="56"/>
      <c r="M299" s="56"/>
      <c r="N299" s="52"/>
      <c r="O299" s="52"/>
      <c r="P299" s="52"/>
      <c r="Q299" s="52"/>
      <c r="R299" s="52"/>
      <c r="S299" s="57"/>
      <c r="T299" s="54"/>
      <c r="U299" s="54"/>
      <c r="V299" s="54"/>
      <c r="W299" s="54"/>
      <c r="X299" s="54"/>
      <c r="Y299" s="54"/>
      <c r="Z299" s="54"/>
      <c r="AA299" s="54"/>
      <c r="AB299" s="54"/>
      <c r="AC299" s="50" t="s">
        <v>201</v>
      </c>
      <c r="AD299" s="51" t="s">
        <v>202</v>
      </c>
      <c r="AE299" s="44">
        <f>ROUND((((X298*E298)/1800)*0.13),4)</f>
        <v>2.07E-2</v>
      </c>
      <c r="AF299" s="44">
        <f>ROUND(((Z298+AA298+AB298)*0.13),4)</f>
        <v>0.2427</v>
      </c>
    </row>
    <row r="300" spans="1:32" ht="12.95" customHeight="1" x14ac:dyDescent="0.25">
      <c r="A300" s="52"/>
      <c r="B300" s="88"/>
      <c r="C300" s="55"/>
      <c r="D300" s="55"/>
      <c r="E300" s="52"/>
      <c r="F300" s="52"/>
      <c r="G300" s="52"/>
      <c r="H300" s="52"/>
      <c r="I300" s="52"/>
      <c r="J300" s="52"/>
      <c r="K300" s="52"/>
      <c r="L300" s="59">
        <v>0.8</v>
      </c>
      <c r="M300" s="59">
        <v>0.98</v>
      </c>
      <c r="N300" s="52"/>
      <c r="O300" s="52"/>
      <c r="P300" s="52"/>
      <c r="Q300" s="52"/>
      <c r="R300" s="52"/>
      <c r="S300" s="60">
        <v>0.39</v>
      </c>
      <c r="T300" s="48">
        <f>ROUND((L300*I298+1.3*L300*K298+S300*H298),4)</f>
        <v>1239.24</v>
      </c>
      <c r="U300" s="48">
        <f>ROUND((M300*0.9*I298+1.3*M300*0.9*K298+S300*H298),4)</f>
        <v>1363.8635999999999</v>
      </c>
      <c r="V300" s="48">
        <f>ROUND((M300*I298+1.3*M300*K298+S300*H298),4)</f>
        <v>1512.8040000000001</v>
      </c>
      <c r="W300" s="48">
        <f>ROUND((L300*J298+1.3*L300*N298+S300*G298),4)</f>
        <v>23.94</v>
      </c>
      <c r="X300" s="48">
        <f>ROUND((M300*0.9*J298+1.3*M300*0.9*N298+S300*G298),4)</f>
        <v>26.154</v>
      </c>
      <c r="Y300" s="48">
        <f>ROUND((M300*J298+1.3*M300*N298+S300*G298),4)</f>
        <v>28.8</v>
      </c>
      <c r="Z300" s="49">
        <f>ROUND((P298*T300*F298*O298/1000000),4)</f>
        <v>0.1239</v>
      </c>
      <c r="AA300" s="49">
        <f>ROUND((Q298*U300*F298*O298/1000000),4)</f>
        <v>2.7300000000000001E-2</v>
      </c>
      <c r="AB300" s="49">
        <f>ROUND((R298*V300*F298*O298/1000000),4)</f>
        <v>0</v>
      </c>
      <c r="AC300" s="50" t="s">
        <v>203</v>
      </c>
      <c r="AD300" s="51" t="s">
        <v>204</v>
      </c>
      <c r="AE300" s="44">
        <f>ROUND((((X300*E298)/1800)),4)</f>
        <v>1.4500000000000001E-2</v>
      </c>
      <c r="AF300" s="44">
        <f>ROUND(((Z300+AA300+AB300)),5)</f>
        <v>0.1512</v>
      </c>
    </row>
    <row r="301" spans="1:32" ht="12.95" customHeight="1" x14ac:dyDescent="0.25">
      <c r="A301" s="52"/>
      <c r="B301" s="88"/>
      <c r="C301" s="52"/>
      <c r="D301" s="52"/>
      <c r="E301" s="52"/>
      <c r="F301" s="52"/>
      <c r="G301" s="52"/>
      <c r="H301" s="52"/>
      <c r="I301" s="52"/>
      <c r="J301" s="52"/>
      <c r="K301" s="52"/>
      <c r="L301" s="59">
        <v>1.79</v>
      </c>
      <c r="M301" s="59">
        <v>2.15</v>
      </c>
      <c r="N301" s="52"/>
      <c r="O301" s="52"/>
      <c r="P301" s="52"/>
      <c r="Q301" s="52"/>
      <c r="R301" s="52"/>
      <c r="S301" s="61">
        <v>1.24</v>
      </c>
      <c r="T301" s="48">
        <f>ROUND((L301*I298+1.3*L301*K298+S301*H298),4)</f>
        <v>2794.8420000000001</v>
      </c>
      <c r="U301" s="48">
        <f>ROUND((M301*0.9*I298+1.3*M301*0.9*K298+S301*H298),4)</f>
        <v>3015.2130000000002</v>
      </c>
      <c r="V301" s="48">
        <f>ROUND((M301*I298+1.3*M301*K298+S301*H298),4)</f>
        <v>3341.97</v>
      </c>
      <c r="W301" s="48">
        <f>ROUND((L301*J298+1.3*L301*N298+S301*G298),4)</f>
        <v>55.77</v>
      </c>
      <c r="X301" s="48">
        <f>ROUND((M301*0.9*J298+1.3*M301*0.9*N298+S301*G298),4)</f>
        <v>59.685000000000002</v>
      </c>
      <c r="Y301" s="48">
        <f>ROUND((M301*J298+1.3*N298+S301*G298),4)</f>
        <v>50.54</v>
      </c>
      <c r="Z301" s="49">
        <f>ROUND((P298*T301*F298*O298/1000000),4)</f>
        <v>0.27950000000000003</v>
      </c>
      <c r="AA301" s="49">
        <f>ROUND((Q298*U301*F298*O298/1000000),4)</f>
        <v>6.0299999999999999E-2</v>
      </c>
      <c r="AB301" s="49">
        <f>ROUND((R298*V301*F298*O298/1000000),4)</f>
        <v>0</v>
      </c>
      <c r="AC301" s="50" t="s">
        <v>205</v>
      </c>
      <c r="AD301" s="51" t="s">
        <v>206</v>
      </c>
      <c r="AE301" s="44">
        <f>ROUND((((X301*E298)/1800)),4)</f>
        <v>3.32E-2</v>
      </c>
      <c r="AF301" s="44">
        <f>ROUND(((Z301+AA301+AB301)),4)</f>
        <v>0.33979999999999999</v>
      </c>
    </row>
    <row r="302" spans="1:32" ht="12.95" customHeight="1" x14ac:dyDescent="0.25">
      <c r="A302" s="52"/>
      <c r="B302" s="53"/>
      <c r="C302" s="52"/>
      <c r="D302" s="52"/>
      <c r="E302" s="52"/>
      <c r="F302" s="52"/>
      <c r="G302" s="52"/>
      <c r="H302" s="52"/>
      <c r="I302" s="52"/>
      <c r="J302" s="52"/>
      <c r="K302" s="52"/>
      <c r="L302" s="59">
        <v>1.1299999999999999</v>
      </c>
      <c r="M302" s="59">
        <v>1.7</v>
      </c>
      <c r="N302" s="52"/>
      <c r="O302" s="52"/>
      <c r="P302" s="52"/>
      <c r="Q302" s="52"/>
      <c r="R302" s="52"/>
      <c r="S302" s="61">
        <v>0.26</v>
      </c>
      <c r="T302" s="48">
        <f>ROUND((L302*I298+1.3*L302*K298+S302*H298),4)</f>
        <v>1732.9739999999999</v>
      </c>
      <c r="U302" s="48">
        <f>ROUND((M302*0.9*I298+1.3*M302*0.9*K298+S302*H298),4)</f>
        <v>2340.8939999999998</v>
      </c>
      <c r="V302" s="48">
        <f>ROUND((M302*I298+1.3*M302*K298+S302*H298),4)</f>
        <v>2599.2600000000002</v>
      </c>
      <c r="W302" s="48">
        <f>ROUND((L302*J298+1.3*L302*N298+S302*G298),4)</f>
        <v>32.07</v>
      </c>
      <c r="X302" s="48">
        <f>ROUND((M302*0.9*J298+1.3*M302*0.9*N298+S302*G298),4)</f>
        <v>42.87</v>
      </c>
      <c r="Y302" s="48">
        <f>ROUND((M302*J298+1.3*M302*N298+S302*G298),4)</f>
        <v>47.46</v>
      </c>
      <c r="Z302" s="49">
        <f>ROUND((P298*T302*F298*O298/1000000),4)</f>
        <v>0.17330000000000001</v>
      </c>
      <c r="AA302" s="49">
        <f>ROUND((Q298*U302*F298*O298/1000000),4)</f>
        <v>4.6800000000000001E-2</v>
      </c>
      <c r="AB302" s="49">
        <f>ROUND((R298*V302*F298*O298/1000000),4)</f>
        <v>0</v>
      </c>
      <c r="AC302" s="50" t="s">
        <v>250</v>
      </c>
      <c r="AD302" s="51" t="s">
        <v>208</v>
      </c>
      <c r="AE302" s="44">
        <f>ROUND((((X302*E298)/1800)),4)</f>
        <v>2.3800000000000002E-2</v>
      </c>
      <c r="AF302" s="44">
        <f>ROUND(((Z302+AA302+AB302)),4)</f>
        <v>0.22009999999999999</v>
      </c>
    </row>
    <row r="303" spans="1:32" ht="12.95" customHeight="1" x14ac:dyDescent="0.25">
      <c r="A303" s="52"/>
      <c r="B303" s="62"/>
      <c r="C303" s="56"/>
      <c r="D303" s="56"/>
      <c r="E303" s="56"/>
      <c r="F303" s="56"/>
      <c r="G303" s="56"/>
      <c r="H303" s="56"/>
      <c r="I303" s="56"/>
      <c r="J303" s="56"/>
      <c r="K303" s="56"/>
      <c r="L303" s="59">
        <v>5.3</v>
      </c>
      <c r="M303" s="59">
        <v>6.47</v>
      </c>
      <c r="N303" s="56"/>
      <c r="O303" s="56"/>
      <c r="P303" s="56"/>
      <c r="Q303" s="56"/>
      <c r="R303" s="56"/>
      <c r="S303" s="61">
        <v>9.92</v>
      </c>
      <c r="T303" s="48">
        <f>ROUND((L303*I298+1.3*L303*K298+S303*H298),4)</f>
        <v>8650.14</v>
      </c>
      <c r="U303" s="48">
        <f>ROUND((M303*0.9*I298+1.3*M303*0.9*K298+S303*H298),4)</f>
        <v>9444.9953999999998</v>
      </c>
      <c r="V303" s="48">
        <f>ROUND((M303*I298+1.3*M303*K298+S303*H298),4)</f>
        <v>10428.306</v>
      </c>
      <c r="W303" s="48">
        <f>ROUND((L303*J298+1.3*L303*N298+S303*G298),4)</f>
        <v>202.62</v>
      </c>
      <c r="X303" s="48">
        <f>ROUND((M303*0.9*J298+1.3*M303*0.9*N298+S303*G298),4)</f>
        <v>216.74100000000001</v>
      </c>
      <c r="Y303" s="48">
        <f>ROUND((M303*J298+1.3*M303*N298+S303*G298),4)</f>
        <v>234.21</v>
      </c>
      <c r="Z303" s="49">
        <f>ROUND((P298*T303*F298*O298/1000000),4)</f>
        <v>0.86499999999999999</v>
      </c>
      <c r="AA303" s="49">
        <f>ROUND((Q298*U303*F298*O298/1000000),4)</f>
        <v>0.18890000000000001</v>
      </c>
      <c r="AB303" s="49">
        <f>ROUND((R298*V303*F298*O298/1000000),4)</f>
        <v>0</v>
      </c>
      <c r="AC303" s="50" t="s">
        <v>170</v>
      </c>
      <c r="AD303" s="51" t="s">
        <v>162</v>
      </c>
      <c r="AE303" s="44">
        <f>ROUND((((X303*E298)/1800)),4)</f>
        <v>0.12039999999999999</v>
      </c>
      <c r="AF303" s="44">
        <f>ROUND(((Z303+AA303+AB303)),4)</f>
        <v>1.0539000000000001</v>
      </c>
    </row>
    <row r="304" spans="1:32" ht="12.95" customHeight="1" x14ac:dyDescent="0.25">
      <c r="A304" s="52"/>
      <c r="B304" s="67" t="s">
        <v>220</v>
      </c>
      <c r="C304" s="46">
        <v>7</v>
      </c>
      <c r="D304" s="45" t="s">
        <v>217</v>
      </c>
      <c r="E304" s="45">
        <v>1</v>
      </c>
      <c r="F304" s="45">
        <v>3</v>
      </c>
      <c r="G304" s="45">
        <v>6</v>
      </c>
      <c r="H304" s="45">
        <v>60</v>
      </c>
      <c r="I304" s="45">
        <f>(8-1-0.75*2)*60*F304-K304-8*0.12*60</f>
        <v>288.89999999999998</v>
      </c>
      <c r="J304" s="45">
        <v>14</v>
      </c>
      <c r="K304" s="45">
        <f>(8-1-0.75*2)*0.65*60*F304</f>
        <v>643.5</v>
      </c>
      <c r="L304" s="48">
        <v>10.16</v>
      </c>
      <c r="M304" s="48">
        <v>10.16</v>
      </c>
      <c r="N304" s="45">
        <v>10</v>
      </c>
      <c r="O304" s="45">
        <f>E304/F304</f>
        <v>0.33333333333333331</v>
      </c>
      <c r="P304" s="45">
        <v>80</v>
      </c>
      <c r="Q304" s="45">
        <v>10</v>
      </c>
      <c r="R304" s="47">
        <v>0</v>
      </c>
      <c r="S304" s="47">
        <v>1.99</v>
      </c>
      <c r="T304" s="48">
        <f>ROUND((L304*I304+1.3*L304*K304+S304*H304),4)</f>
        <v>11553.972</v>
      </c>
      <c r="U304" s="48">
        <f>ROUND((M304*I304+1.3*M304*K304+S304*H304),4)</f>
        <v>11553.972</v>
      </c>
      <c r="V304" s="48">
        <f>ROUND((M304*I304+1.3*M304*K304+S304*H304),4)</f>
        <v>11553.972</v>
      </c>
      <c r="W304" s="48">
        <f>ROUND((L304*J304+1.3*L304*N304+S304*G304),4)</f>
        <v>286.26</v>
      </c>
      <c r="X304" s="48">
        <f>ROUND((M304*J304+1.3*M304*N304+S304*G304),4)</f>
        <v>286.26</v>
      </c>
      <c r="Y304" s="48">
        <f>ROUND((M304*J304+1.3*M304*N304+S304*G304),4)</f>
        <v>286.26</v>
      </c>
      <c r="Z304" s="49">
        <f>ROUND((P304*T304*F304*O304/1000000),4)</f>
        <v>0.92430000000000001</v>
      </c>
      <c r="AA304" s="49">
        <f>ROUND((Q304*U304*F304*O304/1000000),4)</f>
        <v>0.11550000000000001</v>
      </c>
      <c r="AB304" s="49">
        <f>ROUND((R304*V304*F304*O304/1000000),4)</f>
        <v>0</v>
      </c>
      <c r="AC304" s="50" t="s">
        <v>200</v>
      </c>
      <c r="AD304" s="51" t="s">
        <v>153</v>
      </c>
      <c r="AE304" s="44">
        <f>ROUND((((X304*E304)/1800)*0.8),4)</f>
        <v>0.12720000000000001</v>
      </c>
      <c r="AF304" s="44">
        <f>ROUND(((Z304+AA304+AB304)*0.8),4)</f>
        <v>0.83179999999999998</v>
      </c>
    </row>
    <row r="305" spans="1:34" ht="12.95" customHeight="1" x14ac:dyDescent="0.25">
      <c r="A305" s="52"/>
      <c r="B305" s="53" t="s">
        <v>222</v>
      </c>
      <c r="C305" s="52"/>
      <c r="D305" s="52"/>
      <c r="E305" s="52"/>
      <c r="F305" s="52"/>
      <c r="G305" s="52"/>
      <c r="H305" s="52"/>
      <c r="I305" s="52"/>
      <c r="J305" s="52"/>
      <c r="K305" s="52"/>
      <c r="L305" s="56"/>
      <c r="M305" s="56"/>
      <c r="N305" s="52"/>
      <c r="O305" s="52"/>
      <c r="P305" s="52"/>
      <c r="Q305" s="52"/>
      <c r="R305" s="52"/>
      <c r="S305" s="57"/>
      <c r="T305" s="54"/>
      <c r="U305" s="54"/>
      <c r="V305" s="54"/>
      <c r="W305" s="54"/>
      <c r="X305" s="54"/>
      <c r="Y305" s="54"/>
      <c r="Z305" s="54"/>
      <c r="AA305" s="54"/>
      <c r="AB305" s="54"/>
      <c r="AC305" s="50" t="s">
        <v>201</v>
      </c>
      <c r="AD305" s="51" t="s">
        <v>202</v>
      </c>
      <c r="AE305" s="44">
        <f>ROUND((((X304*E304)/1800)*0.13),4)</f>
        <v>2.07E-2</v>
      </c>
      <c r="AF305" s="44">
        <f>ROUND(((Z304+AA304+AB304)*0.13),4)</f>
        <v>0.13519999999999999</v>
      </c>
    </row>
    <row r="306" spans="1:34" ht="12.95" customHeight="1" x14ac:dyDescent="0.25">
      <c r="A306" s="52"/>
      <c r="B306" s="88"/>
      <c r="C306" s="55"/>
      <c r="D306" s="55"/>
      <c r="E306" s="52"/>
      <c r="F306" s="63"/>
      <c r="G306" s="52"/>
      <c r="H306" s="52"/>
      <c r="I306" s="52"/>
      <c r="J306" s="52"/>
      <c r="K306" s="52"/>
      <c r="L306" s="59">
        <v>0.8</v>
      </c>
      <c r="M306" s="59">
        <v>0.98</v>
      </c>
      <c r="N306" s="52"/>
      <c r="O306" s="52"/>
      <c r="P306" s="52"/>
      <c r="Q306" s="52"/>
      <c r="R306" s="52"/>
      <c r="S306" s="60">
        <v>0.39</v>
      </c>
      <c r="T306" s="48">
        <f>ROUND((L306*I304+1.3*L306*K304+S306*H304),4)</f>
        <v>923.76</v>
      </c>
      <c r="U306" s="48">
        <f>ROUND((M306*0.9*I304+1.3*M306*0.9*K304+S306*H304),4)</f>
        <v>1016.0469000000001</v>
      </c>
      <c r="V306" s="48">
        <f>ROUND((M306*I304+1.3*M306*K304+S306*H304),4)</f>
        <v>1126.3409999999999</v>
      </c>
      <c r="W306" s="48">
        <f>ROUND((L306*J304+1.3*L306*N304+S306*G304),4)</f>
        <v>23.94</v>
      </c>
      <c r="X306" s="48">
        <f>ROUND((M306*0.9*J304+1.3*M306*0.9*N304+S306*G304),4)</f>
        <v>26.154</v>
      </c>
      <c r="Y306" s="48">
        <f>ROUND((M306*J304+1.3*M306*N304+S306*G304),4)</f>
        <v>28.8</v>
      </c>
      <c r="Z306" s="49">
        <f>ROUND((P304*T306*F304*O304/1000000),4)</f>
        <v>7.3899999999999993E-2</v>
      </c>
      <c r="AA306" s="49">
        <f>ROUND((Q304*U306*F304*O304/1000000),4)</f>
        <v>1.0200000000000001E-2</v>
      </c>
      <c r="AB306" s="49">
        <f>ROUND((R304*V306*F304*O304/1000000),4)</f>
        <v>0</v>
      </c>
      <c r="AC306" s="50" t="s">
        <v>203</v>
      </c>
      <c r="AD306" s="51" t="s">
        <v>204</v>
      </c>
      <c r="AE306" s="44">
        <f>ROUND((((X306*E304)/1800)),4)</f>
        <v>1.4500000000000001E-2</v>
      </c>
      <c r="AF306" s="44">
        <f>ROUND(((Z306+AA306+AB306)),5)</f>
        <v>8.4099999999999994E-2</v>
      </c>
    </row>
    <row r="307" spans="1:34" ht="12.95" customHeight="1" x14ac:dyDescent="0.25">
      <c r="A307" s="52"/>
      <c r="B307" s="88"/>
      <c r="C307" s="52"/>
      <c r="D307" s="52"/>
      <c r="E307" s="52"/>
      <c r="F307" s="63"/>
      <c r="G307" s="52"/>
      <c r="H307" s="52"/>
      <c r="I307" s="52"/>
      <c r="J307" s="52"/>
      <c r="K307" s="52"/>
      <c r="L307" s="59">
        <v>1.79</v>
      </c>
      <c r="M307" s="59">
        <v>2.15</v>
      </c>
      <c r="N307" s="52"/>
      <c r="O307" s="52"/>
      <c r="P307" s="52"/>
      <c r="Q307" s="52"/>
      <c r="R307" s="52"/>
      <c r="S307" s="61">
        <v>1.24</v>
      </c>
      <c r="T307" s="48">
        <f>ROUND((L307*I304+1.3*L307*K304+S307*H304),4)</f>
        <v>2088.9555</v>
      </c>
      <c r="U307" s="48">
        <f>ROUND((M307*0.9*I304+1.3*M307*0.9*K304+S307*H304),4)</f>
        <v>2252.1457999999998</v>
      </c>
      <c r="V307" s="48">
        <f>ROUND((M307*I304+1.3*M307*K304+S307*H304),4)</f>
        <v>2494.1174999999998</v>
      </c>
      <c r="W307" s="48">
        <f>ROUND((L307*J304+1.3*L307*N304+S307*G304),4)</f>
        <v>55.77</v>
      </c>
      <c r="X307" s="48">
        <f>ROUND((M307*0.9*J304+1.3*M307*0.9*N304+S307*G304),4)</f>
        <v>59.685000000000002</v>
      </c>
      <c r="Y307" s="48">
        <f>ROUND((M307*J304+1.3*N304+S307*G304),4)</f>
        <v>50.54</v>
      </c>
      <c r="Z307" s="49">
        <f>ROUND((P304*T307*F304*O304/1000000),4)</f>
        <v>0.1671</v>
      </c>
      <c r="AA307" s="49">
        <f>ROUND((Q304*U307*F304*O304/1000000),4)</f>
        <v>2.2499999999999999E-2</v>
      </c>
      <c r="AB307" s="49">
        <f>ROUND((R304*V307*F304*O304/1000000),4)</f>
        <v>0</v>
      </c>
      <c r="AC307" s="50" t="s">
        <v>205</v>
      </c>
      <c r="AD307" s="51" t="s">
        <v>206</v>
      </c>
      <c r="AE307" s="44">
        <f>ROUND((((X307*E304)/1800)),4)</f>
        <v>3.32E-2</v>
      </c>
      <c r="AF307" s="44">
        <f>ROUND(((Z307+AA307+AB307)),4)</f>
        <v>0.18959999999999999</v>
      </c>
    </row>
    <row r="308" spans="1:34" ht="12.95" customHeight="1" x14ac:dyDescent="0.25">
      <c r="A308" s="52"/>
      <c r="B308" s="53"/>
      <c r="C308" s="52"/>
      <c r="D308" s="52"/>
      <c r="E308" s="52"/>
      <c r="F308" s="63"/>
      <c r="G308" s="52"/>
      <c r="H308" s="52"/>
      <c r="I308" s="52"/>
      <c r="J308" s="52"/>
      <c r="K308" s="52"/>
      <c r="L308" s="59">
        <v>1.1299999999999999</v>
      </c>
      <c r="M308" s="59">
        <v>1.7</v>
      </c>
      <c r="N308" s="52"/>
      <c r="O308" s="52"/>
      <c r="P308" s="52"/>
      <c r="Q308" s="52"/>
      <c r="R308" s="52"/>
      <c r="S308" s="61">
        <v>0.26</v>
      </c>
      <c r="T308" s="48">
        <f>ROUND((L308*I304+1.3*L308*K304+S308*H304),4)</f>
        <v>1287.3585</v>
      </c>
      <c r="U308" s="48">
        <f>ROUND((M308*0.9*I304+1.3*M308*0.9*K304+S308*H304),4)</f>
        <v>1737.5385000000001</v>
      </c>
      <c r="V308" s="48">
        <f>ROUND((M308*I304+1.3*M308*K304+S308*H304),4)</f>
        <v>1928.865</v>
      </c>
      <c r="W308" s="48">
        <f>ROUND((L308*J304+1.3*L308*N304+S308*G304),4)</f>
        <v>32.07</v>
      </c>
      <c r="X308" s="48">
        <f>ROUND((M308*0.9*J304+1.3*M308*0.9*N304+S308*G304),4)</f>
        <v>42.87</v>
      </c>
      <c r="Y308" s="48">
        <f>ROUND((M308*J304+1.3*M308*N304+S308*G304),4)</f>
        <v>47.46</v>
      </c>
      <c r="Z308" s="49">
        <f>ROUND((P304*T308*F304*O304/1000000),4)</f>
        <v>0.10299999999999999</v>
      </c>
      <c r="AA308" s="49">
        <f>ROUND((Q304*U308*F304*O304/1000000),4)</f>
        <v>1.7399999999999999E-2</v>
      </c>
      <c r="AB308" s="49">
        <f>ROUND((R304*V308*F304*O304/1000000),4)</f>
        <v>0</v>
      </c>
      <c r="AC308" s="50" t="s">
        <v>250</v>
      </c>
      <c r="AD308" s="51" t="s">
        <v>208</v>
      </c>
      <c r="AE308" s="44">
        <f>ROUND((((X308*E304)/1800)),4)</f>
        <v>2.3800000000000002E-2</v>
      </c>
      <c r="AF308" s="44">
        <f>ROUND(((Z308+AA308+AB308)),4)</f>
        <v>0.12039999999999999</v>
      </c>
    </row>
    <row r="309" spans="1:34" ht="12.95" customHeight="1" x14ac:dyDescent="0.25">
      <c r="A309" s="52"/>
      <c r="B309" s="62"/>
      <c r="C309" s="56"/>
      <c r="D309" s="56"/>
      <c r="E309" s="56"/>
      <c r="F309" s="66"/>
      <c r="G309" s="56"/>
      <c r="H309" s="56"/>
      <c r="I309" s="56"/>
      <c r="J309" s="56"/>
      <c r="K309" s="56"/>
      <c r="L309" s="59">
        <v>5.3</v>
      </c>
      <c r="M309" s="59">
        <v>6.47</v>
      </c>
      <c r="N309" s="56"/>
      <c r="O309" s="56"/>
      <c r="P309" s="56"/>
      <c r="Q309" s="56"/>
      <c r="R309" s="56"/>
      <c r="S309" s="61">
        <v>9.92</v>
      </c>
      <c r="T309" s="48">
        <f>ROUND((L309*I304+1.3*L309*K304+S309*H304),4)</f>
        <v>6560.085</v>
      </c>
      <c r="U309" s="48">
        <f>ROUND((M309*0.9*I304+1.3*M309*0.9*K304+S309*H304),4)</f>
        <v>7148.6953999999996</v>
      </c>
      <c r="V309" s="48">
        <f>ROUND((M309*I304+1.3*M309*K304+S309*H304),4)</f>
        <v>7876.8615</v>
      </c>
      <c r="W309" s="48">
        <f>ROUND((L309*J304+1.3*L309*N304+S309*G304),4)</f>
        <v>202.62</v>
      </c>
      <c r="X309" s="48">
        <f>ROUND((M309*0.9*J304+1.3*M309*0.9*N304+S309*G304),4)</f>
        <v>216.74100000000001</v>
      </c>
      <c r="Y309" s="48">
        <f>ROUND((M309*J304+1.3*M309*N304+S309*G304),4)</f>
        <v>234.21</v>
      </c>
      <c r="Z309" s="49">
        <f>ROUND((P304*T309*F304*O304/1000000),4)</f>
        <v>0.52480000000000004</v>
      </c>
      <c r="AA309" s="49">
        <f>ROUND((Q304*U309*F304*O304/1000000),4)</f>
        <v>7.1499999999999994E-2</v>
      </c>
      <c r="AB309" s="49">
        <f>ROUND((R304*V309*F304*O304/1000000),4)</f>
        <v>0</v>
      </c>
      <c r="AC309" s="50" t="s">
        <v>170</v>
      </c>
      <c r="AD309" s="51" t="s">
        <v>162</v>
      </c>
      <c r="AE309" s="44">
        <f>ROUND((((X309*E304)/1800)),4)</f>
        <v>0.12039999999999999</v>
      </c>
      <c r="AF309" s="44">
        <f>ROUND(((Z309+AA309+AB309)),4)</f>
        <v>0.59630000000000005</v>
      </c>
    </row>
    <row r="310" spans="1:34" ht="12.95" customHeight="1" x14ac:dyDescent="0.25">
      <c r="A310" s="52"/>
      <c r="B310" s="67" t="s">
        <v>223</v>
      </c>
      <c r="C310" s="46">
        <v>1</v>
      </c>
      <c r="D310" s="45" t="s">
        <v>225</v>
      </c>
      <c r="E310" s="45">
        <v>1</v>
      </c>
      <c r="F310" s="45">
        <v>2</v>
      </c>
      <c r="G310" s="45">
        <v>6</v>
      </c>
      <c r="H310" s="45">
        <v>60</v>
      </c>
      <c r="I310" s="45">
        <f>(8-1-0.75*2)*60*F310-K310-8*0.12*60</f>
        <v>173.4</v>
      </c>
      <c r="J310" s="45">
        <v>14</v>
      </c>
      <c r="K310" s="45">
        <f>(8-1-0.75*2)*0.65*60*F310</f>
        <v>429</v>
      </c>
      <c r="L310" s="48">
        <v>0.47</v>
      </c>
      <c r="M310" s="48">
        <v>0.47</v>
      </c>
      <c r="N310" s="45">
        <v>10</v>
      </c>
      <c r="O310" s="45">
        <f>E310/F310</f>
        <v>0.5</v>
      </c>
      <c r="P310" s="45">
        <v>100</v>
      </c>
      <c r="Q310" s="45">
        <v>20</v>
      </c>
      <c r="R310" s="47">
        <v>0</v>
      </c>
      <c r="S310" s="47">
        <v>0.09</v>
      </c>
      <c r="T310" s="48">
        <f>ROUND((L310*I310+1.3*L310*K310+S310*H310),4)</f>
        <v>349.017</v>
      </c>
      <c r="U310" s="48">
        <f>ROUND((M310*I310+1.3*M310*K310+S310*H310),4)</f>
        <v>349.017</v>
      </c>
      <c r="V310" s="48">
        <f>ROUND((M310*I310+1.3*M310*K310+S310*H310),4)</f>
        <v>349.017</v>
      </c>
      <c r="W310" s="48">
        <f>ROUND((L310*J310+1.3*L310*N310+S310*G310),4)</f>
        <v>13.23</v>
      </c>
      <c r="X310" s="48">
        <f>ROUND((M310*J310+1.3*M310*N310+S310*G310),4)</f>
        <v>13.23</v>
      </c>
      <c r="Y310" s="48">
        <f>ROUND((M310*J310+1.3*M310*N310+S310*G310),4)</f>
        <v>13.23</v>
      </c>
      <c r="Z310" s="49">
        <f>ROUND((P310*T310*F310*O310/1000000),4)</f>
        <v>3.49E-2</v>
      </c>
      <c r="AA310" s="49">
        <f>ROUND((Q310*U310*F310*O310/1000000),4)</f>
        <v>7.0000000000000001E-3</v>
      </c>
      <c r="AB310" s="49">
        <f>ROUND((R310*V310*F310*O310/1000000),4)</f>
        <v>0</v>
      </c>
      <c r="AC310" s="50" t="s">
        <v>200</v>
      </c>
      <c r="AD310" s="51" t="s">
        <v>153</v>
      </c>
      <c r="AE310" s="44">
        <f>ROUND((((X310*E310)/1800)*0.8),4)</f>
        <v>5.8999999999999999E-3</v>
      </c>
      <c r="AF310" s="44">
        <f>ROUND(((Z310+AA310+AB310)*0.8),4)</f>
        <v>3.3500000000000002E-2</v>
      </c>
      <c r="AG310" s="88"/>
      <c r="AH310" s="88"/>
    </row>
    <row r="311" spans="1:34" ht="12.95" customHeight="1" x14ac:dyDescent="0.25">
      <c r="A311" s="52"/>
      <c r="B311" s="53" t="s">
        <v>224</v>
      </c>
      <c r="C311" s="52"/>
      <c r="D311" s="52"/>
      <c r="E311" s="52"/>
      <c r="F311" s="63"/>
      <c r="G311" s="52"/>
      <c r="H311" s="52"/>
      <c r="I311" s="52"/>
      <c r="J311" s="52"/>
      <c r="K311" s="52"/>
      <c r="L311" s="56"/>
      <c r="M311" s="56"/>
      <c r="N311" s="52"/>
      <c r="O311" s="52"/>
      <c r="P311" s="52"/>
      <c r="Q311" s="52"/>
      <c r="R311" s="52"/>
      <c r="S311" s="57"/>
      <c r="T311" s="54"/>
      <c r="U311" s="54"/>
      <c r="V311" s="54"/>
      <c r="W311" s="54"/>
      <c r="X311" s="54"/>
      <c r="Y311" s="54"/>
      <c r="Z311" s="54"/>
      <c r="AA311" s="54"/>
      <c r="AB311" s="54"/>
      <c r="AC311" s="50" t="s">
        <v>201</v>
      </c>
      <c r="AD311" s="51" t="s">
        <v>202</v>
      </c>
      <c r="AE311" s="44">
        <f>ROUND((((X310*E310)/1800)*0.13),4)</f>
        <v>1E-3</v>
      </c>
      <c r="AF311" s="44">
        <f>ROUND(((Z310+AA310+AB310)*0.13),4)</f>
        <v>5.4000000000000003E-3</v>
      </c>
      <c r="AG311" s="88"/>
      <c r="AH311" s="88"/>
    </row>
    <row r="312" spans="1:34" ht="12.95" customHeight="1" x14ac:dyDescent="0.25">
      <c r="A312" s="52"/>
      <c r="B312" s="88"/>
      <c r="C312" s="55"/>
      <c r="D312" s="55"/>
      <c r="E312" s="52"/>
      <c r="F312" s="63"/>
      <c r="G312" s="52"/>
      <c r="H312" s="52"/>
      <c r="I312" s="52"/>
      <c r="J312" s="52"/>
      <c r="K312" s="52"/>
      <c r="L312" s="59">
        <v>0.8</v>
      </c>
      <c r="M312" s="59">
        <v>0.98</v>
      </c>
      <c r="N312" s="52"/>
      <c r="O312" s="52"/>
      <c r="P312" s="52"/>
      <c r="Q312" s="52"/>
      <c r="R312" s="52"/>
      <c r="S312" s="60">
        <v>1.7999999999999999E-2</v>
      </c>
      <c r="T312" s="48">
        <f>ROUND((L312*I310+1.3*L312*K310+S312*H310),4)</f>
        <v>585.96</v>
      </c>
      <c r="U312" s="48">
        <f>ROUND((M312*0.9*I310+1.3*M312*0.9*K310+S312*H310),4)</f>
        <v>645.91020000000003</v>
      </c>
      <c r="V312" s="48">
        <f>ROUND((M312*I310+1.3*M312*K310+S312*H310),4)</f>
        <v>717.55799999999999</v>
      </c>
      <c r="W312" s="48">
        <f>ROUND((L312*J310+1.3*L312*N310+S312*G310),4)</f>
        <v>21.707999999999998</v>
      </c>
      <c r="X312" s="48">
        <f>ROUND((M312*0.9*J310+1.3*M312*0.9*N310+S312*G310),4)</f>
        <v>23.922000000000001</v>
      </c>
      <c r="Y312" s="48">
        <f>ROUND((M312*J310+1.3*M312*N310+S312*G310),4)</f>
        <v>26.568000000000001</v>
      </c>
      <c r="Z312" s="49">
        <f>ROUND((P310*T312*F310*O310/1000000),4)</f>
        <v>5.8599999999999999E-2</v>
      </c>
      <c r="AA312" s="49">
        <f>ROUND((Q310*U312*F310*O310/1000000),4)</f>
        <v>1.29E-2</v>
      </c>
      <c r="AB312" s="49">
        <f>ROUND((R310*V312*F310*O310/1000000),4)</f>
        <v>0</v>
      </c>
      <c r="AC312" s="50" t="s">
        <v>203</v>
      </c>
      <c r="AD312" s="51" t="s">
        <v>204</v>
      </c>
      <c r="AE312" s="44">
        <f>ROUND((((X312*E310)/1800)),4)</f>
        <v>1.3299999999999999E-2</v>
      </c>
      <c r="AF312" s="44">
        <f>ROUND(((Z312+AA312+AB312)),5)</f>
        <v>7.1499999999999994E-2</v>
      </c>
      <c r="AG312" s="88"/>
      <c r="AH312" s="88"/>
    </row>
    <row r="313" spans="1:34" ht="12.95" customHeight="1" x14ac:dyDescent="0.25">
      <c r="A313" s="52"/>
      <c r="B313" s="88"/>
      <c r="C313" s="52"/>
      <c r="D313" s="52"/>
      <c r="E313" s="52"/>
      <c r="F313" s="63"/>
      <c r="G313" s="52"/>
      <c r="H313" s="52"/>
      <c r="I313" s="52"/>
      <c r="J313" s="52"/>
      <c r="K313" s="52"/>
      <c r="L313" s="59">
        <v>0.08</v>
      </c>
      <c r="M313" s="59">
        <v>0.1</v>
      </c>
      <c r="N313" s="52"/>
      <c r="O313" s="52"/>
      <c r="P313" s="52"/>
      <c r="Q313" s="52"/>
      <c r="R313" s="52"/>
      <c r="S313" s="61">
        <v>0.06</v>
      </c>
      <c r="T313" s="48">
        <f>ROUND((L313*I310+1.3*L313*K310+S313*H310),4)</f>
        <v>62.088000000000001</v>
      </c>
      <c r="U313" s="48">
        <f>ROUND((M313*0.9*I310+1.3*M313*0.9*K310+S313*H310),4)</f>
        <v>69.399000000000001</v>
      </c>
      <c r="V313" s="48">
        <f>ROUND((M313*I310+1.3*M313*K310+S313*H310),4)</f>
        <v>76.709999999999994</v>
      </c>
      <c r="W313" s="48">
        <f>ROUND((L313*J310+1.3*L313*N310+S313*G310),4)</f>
        <v>2.52</v>
      </c>
      <c r="X313" s="48">
        <f>ROUND((M313*0.9*J310+1.3*M313*0.9*N310+S313*G310),4)</f>
        <v>2.79</v>
      </c>
      <c r="Y313" s="48">
        <f>ROUND((M313*J310+1.3*N310+S313*G310),4)</f>
        <v>14.76</v>
      </c>
      <c r="Z313" s="49">
        <f>ROUND((P310*T313*F310*O310/1000000),4)</f>
        <v>6.1999999999999998E-3</v>
      </c>
      <c r="AA313" s="49">
        <f>ROUND((Q310*U313*F310*O310/1000000),4)</f>
        <v>1.4E-3</v>
      </c>
      <c r="AB313" s="49">
        <f>ROUND((R310*V313*F310*O310/1000000),4)</f>
        <v>0</v>
      </c>
      <c r="AC313" s="50" t="s">
        <v>205</v>
      </c>
      <c r="AD313" s="51" t="s">
        <v>206</v>
      </c>
      <c r="AE313" s="44">
        <f>ROUND((((X313*E310)/1800)),4)</f>
        <v>1.6000000000000001E-3</v>
      </c>
      <c r="AF313" s="44">
        <f>ROUND(((Z313+AA313+AB313)),4)</f>
        <v>7.6E-3</v>
      </c>
      <c r="AG313" s="88"/>
      <c r="AH313" s="88"/>
    </row>
    <row r="314" spans="1:34" ht="12.95" customHeight="1" x14ac:dyDescent="0.25">
      <c r="A314" s="52"/>
      <c r="B314" s="53"/>
      <c r="C314" s="52"/>
      <c r="D314" s="52"/>
      <c r="E314" s="52"/>
      <c r="F314" s="63"/>
      <c r="G314" s="52"/>
      <c r="H314" s="52"/>
      <c r="I314" s="52"/>
      <c r="J314" s="52"/>
      <c r="K314" s="52"/>
      <c r="L314" s="59">
        <v>0.05</v>
      </c>
      <c r="M314" s="59">
        <v>7.0000000000000007E-2</v>
      </c>
      <c r="N314" s="52"/>
      <c r="O314" s="52"/>
      <c r="P314" s="52"/>
      <c r="Q314" s="52"/>
      <c r="R314" s="52"/>
      <c r="S314" s="61">
        <v>0.01</v>
      </c>
      <c r="T314" s="48">
        <f>ROUND((L314*I310+1.3*L314*K310+S314*H310),4)</f>
        <v>37.155000000000001</v>
      </c>
      <c r="U314" s="48">
        <f>ROUND((M314*0.9*I310+1.3*M314*0.9*K310+S314*H310),4)</f>
        <v>46.659300000000002</v>
      </c>
      <c r="V314" s="48">
        <f>ROUND((M314*I310+1.3*M314*K310+S314*H310),4)</f>
        <v>51.777000000000001</v>
      </c>
      <c r="W314" s="48">
        <f>ROUND((L314*J310+1.3*L314*N310+S314*G310),4)</f>
        <v>1.41</v>
      </c>
      <c r="X314" s="48">
        <f>ROUND((M314*0.9*J310+1.3*M314*0.9*N310+S314*G310),4)</f>
        <v>1.7609999999999999</v>
      </c>
      <c r="Y314" s="48">
        <f>ROUND((M314*J310+1.3*M314*N310+S314*G310),4)</f>
        <v>1.95</v>
      </c>
      <c r="Z314" s="49">
        <f>ROUND((P310*T314*F310*O310/1000000),4)</f>
        <v>3.7000000000000002E-3</v>
      </c>
      <c r="AA314" s="49">
        <f>ROUND((Q310*U314*F310*O310/1000000),4)</f>
        <v>8.9999999999999998E-4</v>
      </c>
      <c r="AB314" s="49">
        <f>ROUND((R310*V314*F310*O310/1000000),4)</f>
        <v>0</v>
      </c>
      <c r="AC314" s="50" t="s">
        <v>250</v>
      </c>
      <c r="AD314" s="51" t="s">
        <v>208</v>
      </c>
      <c r="AE314" s="44">
        <f>ROUND((((X314*E310)/1800)),4)</f>
        <v>1E-3</v>
      </c>
      <c r="AF314" s="44">
        <f>ROUND(((Z314+AA314+AB314)),4)</f>
        <v>4.5999999999999999E-3</v>
      </c>
      <c r="AG314" s="88"/>
      <c r="AH314" s="88"/>
    </row>
    <row r="315" spans="1:34" ht="12.95" customHeight="1" x14ac:dyDescent="0.25">
      <c r="A315" s="52"/>
      <c r="B315" s="62"/>
      <c r="C315" s="56"/>
      <c r="D315" s="56"/>
      <c r="E315" s="56"/>
      <c r="F315" s="66"/>
      <c r="G315" s="56"/>
      <c r="H315" s="56"/>
      <c r="I315" s="56"/>
      <c r="J315" s="56"/>
      <c r="K315" s="56"/>
      <c r="L315" s="59">
        <v>3.5999999999999997E-2</v>
      </c>
      <c r="M315" s="59">
        <v>4.3999999999999997E-2</v>
      </c>
      <c r="N315" s="56"/>
      <c r="O315" s="56"/>
      <c r="P315" s="56"/>
      <c r="Q315" s="56"/>
      <c r="R315" s="56"/>
      <c r="S315" s="61">
        <v>0.45</v>
      </c>
      <c r="T315" s="48">
        <f>ROUND((L315*I310+1.3*L315*K310+S315*H310),4)</f>
        <v>53.319600000000001</v>
      </c>
      <c r="U315" s="48">
        <f>ROUND((M315*0.9*I310+1.3*M315*0.9*K310+S315*H310),4)</f>
        <v>55.951599999999999</v>
      </c>
      <c r="V315" s="48">
        <f>ROUND((M315*I310+1.3*M315*K310+S315*H310),4)</f>
        <v>59.168399999999998</v>
      </c>
      <c r="W315" s="48">
        <f>ROUND((L315*J310+1.3*L315*N310+S315*G310),4)</f>
        <v>3.6720000000000002</v>
      </c>
      <c r="X315" s="48">
        <f>ROUND((M315*0.9*J310+1.3*M315*0.9*N310+S315*G310),4)</f>
        <v>3.7692000000000001</v>
      </c>
      <c r="Y315" s="48">
        <f>ROUND((M315*J310+1.3*M315*N310+S315*G310),4)</f>
        <v>3.8879999999999999</v>
      </c>
      <c r="Z315" s="49">
        <f>ROUND((P310*T315*F310*O310/1000000),4)</f>
        <v>5.3E-3</v>
      </c>
      <c r="AA315" s="49">
        <f>ROUND((Q310*U315*F310*O310/1000000),4)</f>
        <v>1.1000000000000001E-3</v>
      </c>
      <c r="AB315" s="49">
        <f>ROUND((R310*V315*F310*O310/1000000),4)</f>
        <v>0</v>
      </c>
      <c r="AC315" s="50" t="s">
        <v>170</v>
      </c>
      <c r="AD315" s="51" t="s">
        <v>162</v>
      </c>
      <c r="AE315" s="44">
        <f>ROUND((((X315*E310)/1800)),4)</f>
        <v>2.0999999999999999E-3</v>
      </c>
      <c r="AF315" s="44">
        <f>ROUND(((Z315+AA315+AB315)),4)</f>
        <v>6.4000000000000003E-3</v>
      </c>
      <c r="AG315" s="88"/>
      <c r="AH315" s="88"/>
    </row>
    <row r="316" spans="1:34" ht="12.95" customHeight="1" x14ac:dyDescent="0.25">
      <c r="A316" s="52"/>
      <c r="B316" s="67" t="s">
        <v>226</v>
      </c>
      <c r="C316" s="46">
        <v>3</v>
      </c>
      <c r="D316" s="45" t="s">
        <v>228</v>
      </c>
      <c r="E316" s="45">
        <v>1</v>
      </c>
      <c r="F316" s="45">
        <v>1</v>
      </c>
      <c r="G316" s="45">
        <v>6</v>
      </c>
      <c r="H316" s="45">
        <v>60</v>
      </c>
      <c r="I316" s="45">
        <f>(8-1-0.75*2)*60*F316-K316-8*0.12*60</f>
        <v>57.900000000000006</v>
      </c>
      <c r="J316" s="45">
        <v>14</v>
      </c>
      <c r="K316" s="45">
        <f>(8-1-0.75*2)*0.65*60*F316</f>
        <v>214.5</v>
      </c>
      <c r="L316" s="48">
        <v>1.49</v>
      </c>
      <c r="M316" s="48">
        <v>1.49</v>
      </c>
      <c r="N316" s="45">
        <v>10</v>
      </c>
      <c r="O316" s="45">
        <f>E316/F316</f>
        <v>1</v>
      </c>
      <c r="P316" s="45">
        <v>15</v>
      </c>
      <c r="Q316" s="45">
        <v>0</v>
      </c>
      <c r="R316" s="47">
        <v>0</v>
      </c>
      <c r="S316" s="47">
        <v>0.28999999999999998</v>
      </c>
      <c r="T316" s="48">
        <f>ROUND((L316*I316+1.3*L316*K316+S316*H316),4)</f>
        <v>519.15750000000003</v>
      </c>
      <c r="U316" s="48">
        <f>ROUND((M316*I316+1.3*M316*K316+S316*H316),4)</f>
        <v>519.15750000000003</v>
      </c>
      <c r="V316" s="48">
        <f>ROUND((M316*I316+1.3*M316*K316+S316*H316),4)</f>
        <v>519.15750000000003</v>
      </c>
      <c r="W316" s="48">
        <f>ROUND((L316*J316+1.3*L316*N316+S316*G316),4)</f>
        <v>41.97</v>
      </c>
      <c r="X316" s="48">
        <f>ROUND((M316*J316+1.3*M316*N316+S316*G316),4)</f>
        <v>41.97</v>
      </c>
      <c r="Y316" s="48">
        <f>ROUND((M316*J316+1.3*M316*N316+S316*G316),4)</f>
        <v>41.97</v>
      </c>
      <c r="Z316" s="49">
        <f>ROUND((P316*T316*F316*O316/1000000),4)</f>
        <v>7.7999999999999996E-3</v>
      </c>
      <c r="AA316" s="49">
        <f>ROUND((Q316*U316*F316*O316/1000000),4)</f>
        <v>0</v>
      </c>
      <c r="AB316" s="49">
        <f>ROUND((R316*V316*F316*O316/1000000),4)</f>
        <v>0</v>
      </c>
      <c r="AC316" s="50" t="s">
        <v>200</v>
      </c>
      <c r="AD316" s="51" t="s">
        <v>153</v>
      </c>
      <c r="AE316" s="44">
        <f>ROUND((((X316*E316)/1800)*0.8),4)</f>
        <v>1.8700000000000001E-2</v>
      </c>
      <c r="AF316" s="44">
        <f>ROUND(((Z316+AA316+AB316)*0.8),4)</f>
        <v>6.1999999999999998E-3</v>
      </c>
      <c r="AG316" s="88"/>
      <c r="AH316" s="88"/>
    </row>
    <row r="317" spans="1:34" ht="12.95" customHeight="1" x14ac:dyDescent="0.25">
      <c r="A317" s="52"/>
      <c r="B317" s="53" t="s">
        <v>227</v>
      </c>
      <c r="C317" s="52"/>
      <c r="D317" s="52"/>
      <c r="E317" s="52"/>
      <c r="F317" s="63"/>
      <c r="G317" s="52"/>
      <c r="H317" s="52"/>
      <c r="I317" s="52"/>
      <c r="J317" s="52"/>
      <c r="K317" s="52"/>
      <c r="L317" s="56"/>
      <c r="M317" s="56"/>
      <c r="N317" s="52"/>
      <c r="O317" s="52"/>
      <c r="P317" s="52"/>
      <c r="Q317" s="52"/>
      <c r="R317" s="52"/>
      <c r="S317" s="57"/>
      <c r="T317" s="54"/>
      <c r="U317" s="54"/>
      <c r="V317" s="54"/>
      <c r="W317" s="54"/>
      <c r="X317" s="54"/>
      <c r="Y317" s="54"/>
      <c r="Z317" s="54"/>
      <c r="AA317" s="54"/>
      <c r="AB317" s="54"/>
      <c r="AC317" s="50" t="s">
        <v>201</v>
      </c>
      <c r="AD317" s="51" t="s">
        <v>202</v>
      </c>
      <c r="AE317" s="44">
        <f>ROUND((((X316*E316)/1800)*0.13),4)</f>
        <v>3.0000000000000001E-3</v>
      </c>
      <c r="AF317" s="44">
        <f>ROUND(((Z316+AA316+AB316)*0.13),4)</f>
        <v>1E-3</v>
      </c>
      <c r="AG317" s="88"/>
      <c r="AH317" s="88"/>
    </row>
    <row r="318" spans="1:34" ht="12.95" customHeight="1" x14ac:dyDescent="0.25">
      <c r="A318" s="63"/>
      <c r="B318" s="87"/>
      <c r="C318" s="65"/>
      <c r="D318" s="55"/>
      <c r="E318" s="52"/>
      <c r="F318" s="63"/>
      <c r="G318" s="52"/>
      <c r="H318" s="52"/>
      <c r="I318" s="52"/>
      <c r="J318" s="52"/>
      <c r="K318" s="52"/>
      <c r="L318" s="59">
        <v>0.12</v>
      </c>
      <c r="M318" s="59">
        <v>0.15</v>
      </c>
      <c r="N318" s="52"/>
      <c r="O318" s="52"/>
      <c r="P318" s="52"/>
      <c r="Q318" s="52"/>
      <c r="R318" s="52"/>
      <c r="S318" s="60">
        <v>5.8000000000000003E-2</v>
      </c>
      <c r="T318" s="48">
        <f>ROUND((L318*I316+1.3*L318*K316+S318*H316),4)</f>
        <v>43.89</v>
      </c>
      <c r="U318" s="48">
        <f>ROUND((M318*0.9*I316+1.3*M318*0.9*K316+S318*H316),4)</f>
        <v>48.941299999999998</v>
      </c>
      <c r="V318" s="48">
        <f>ROUND((M318*I316+1.3*M318*K316+S318*H316),4)</f>
        <v>53.9925</v>
      </c>
      <c r="W318" s="48">
        <f>ROUND((L318*J316+1.3*L318*N316+S318*G316),4)</f>
        <v>3.5880000000000001</v>
      </c>
      <c r="X318" s="48">
        <f>ROUND((M318*0.9*J316+1.3*M318*0.9*N316+S318*G316),4)</f>
        <v>3.9929999999999999</v>
      </c>
      <c r="Y318" s="48">
        <f>ROUND((M318*J316+1.3*M318*N316+S318*G316),4)</f>
        <v>4.3979999999999997</v>
      </c>
      <c r="Z318" s="49">
        <f>ROUND((P316*T318*F316*O316/1000000),4)</f>
        <v>6.9999999999999999E-4</v>
      </c>
      <c r="AA318" s="49">
        <f>ROUND((Q316*U318*F316*O316/1000000),4)</f>
        <v>0</v>
      </c>
      <c r="AB318" s="49">
        <f>ROUND((R316*V318*F316*O316/1000000),4)</f>
        <v>0</v>
      </c>
      <c r="AC318" s="50" t="s">
        <v>203</v>
      </c>
      <c r="AD318" s="51" t="s">
        <v>204</v>
      </c>
      <c r="AE318" s="44">
        <f>ROUND((((X318*E316)/1800)),4)</f>
        <v>2.2000000000000001E-3</v>
      </c>
      <c r="AF318" s="44">
        <f>ROUND(((Z318+AA318+AB318)),5)</f>
        <v>6.9999999999999999E-4</v>
      </c>
      <c r="AG318" s="88"/>
      <c r="AH318" s="88"/>
    </row>
    <row r="319" spans="1:34" ht="12.95" customHeight="1" x14ac:dyDescent="0.25">
      <c r="A319" s="63"/>
      <c r="B319" s="87"/>
      <c r="C319" s="63"/>
      <c r="D319" s="52"/>
      <c r="E319" s="52"/>
      <c r="F319" s="63"/>
      <c r="G319" s="52"/>
      <c r="H319" s="52"/>
      <c r="I319" s="52"/>
      <c r="J319" s="52"/>
      <c r="K319" s="52"/>
      <c r="L319" s="59">
        <v>0.26</v>
      </c>
      <c r="M319" s="59">
        <v>0.31</v>
      </c>
      <c r="N319" s="52"/>
      <c r="O319" s="52"/>
      <c r="P319" s="52"/>
      <c r="Q319" s="52"/>
      <c r="R319" s="52"/>
      <c r="S319" s="61">
        <v>0.18</v>
      </c>
      <c r="T319" s="48">
        <f>ROUND((L319*I316+1.3*L319*K316+S319*H316),4)</f>
        <v>98.355000000000004</v>
      </c>
      <c r="U319" s="48">
        <f>ROUND((M319*0.9*I316+1.3*M319*0.9*K316+S319*H316),4)</f>
        <v>104.7533</v>
      </c>
      <c r="V319" s="48">
        <f>ROUND((M319*I316+1.3*M319*K316+S319*H316),4)</f>
        <v>115.1925</v>
      </c>
      <c r="W319" s="48">
        <f>ROUND((L319*J316+1.3*L319*N316+S319*G316),4)</f>
        <v>8.1</v>
      </c>
      <c r="X319" s="48">
        <f>ROUND((M319*0.9*J316+1.3*M319*0.9*N316+S319*G316),4)</f>
        <v>8.6129999999999995</v>
      </c>
      <c r="Y319" s="48">
        <f>ROUND((M319*J316+1.3*N316+S319*G316),4)</f>
        <v>18.420000000000002</v>
      </c>
      <c r="Z319" s="49">
        <f>ROUND((P316*T319*F316*O316/1000000),4)</f>
        <v>1.5E-3</v>
      </c>
      <c r="AA319" s="49">
        <f>ROUND((Q316*U319*F316*O316/1000000),4)</f>
        <v>0</v>
      </c>
      <c r="AB319" s="49">
        <f>ROUND((R316*V319*F316*O316/1000000),4)</f>
        <v>0</v>
      </c>
      <c r="AC319" s="50" t="s">
        <v>205</v>
      </c>
      <c r="AD319" s="51" t="s">
        <v>206</v>
      </c>
      <c r="AE319" s="44">
        <f>ROUND((((X319*E316)/1800)),4)</f>
        <v>4.7999999999999996E-3</v>
      </c>
      <c r="AF319" s="44">
        <f>ROUND(((Z319+AA319+AB319)),4)</f>
        <v>1.5E-3</v>
      </c>
      <c r="AG319" s="88"/>
      <c r="AH319" s="88"/>
    </row>
    <row r="320" spans="1:34" ht="12.95" customHeight="1" x14ac:dyDescent="0.25">
      <c r="A320" s="63"/>
      <c r="B320" s="64"/>
      <c r="C320" s="63"/>
      <c r="D320" s="52"/>
      <c r="E320" s="52"/>
      <c r="F320" s="63"/>
      <c r="G320" s="52"/>
      <c r="H320" s="52"/>
      <c r="I320" s="52"/>
      <c r="J320" s="52"/>
      <c r="K320" s="52"/>
      <c r="L320" s="59">
        <v>0.17</v>
      </c>
      <c r="M320" s="59">
        <v>0.25</v>
      </c>
      <c r="N320" s="52"/>
      <c r="O320" s="52"/>
      <c r="P320" s="52"/>
      <c r="Q320" s="52"/>
      <c r="R320" s="52"/>
      <c r="S320" s="61">
        <v>0.04</v>
      </c>
      <c r="T320" s="48">
        <f>ROUND((L320*I316+1.3*L320*K316+S320*H316),4)</f>
        <v>59.647500000000001</v>
      </c>
      <c r="U320" s="48">
        <f>ROUND((M320*0.9*I316+1.3*M320*0.9*K316+S320*H316),4)</f>
        <v>78.168800000000005</v>
      </c>
      <c r="V320" s="48">
        <f>ROUND((M320*I316+1.3*M320*K316+S320*H316),4)</f>
        <v>86.587500000000006</v>
      </c>
      <c r="W320" s="48">
        <f>ROUND((L320*J316+1.3*L320*N316+S320*G316),4)</f>
        <v>4.83</v>
      </c>
      <c r="X320" s="48">
        <f>ROUND((M320*0.9*J316+1.3*M320*0.9*N316+S320*G316),4)</f>
        <v>6.3150000000000004</v>
      </c>
      <c r="Y320" s="48">
        <f>ROUND((M320*J316+1.3*M320*N316+S320*G316),4)</f>
        <v>6.99</v>
      </c>
      <c r="Z320" s="49">
        <f>ROUND((P316*T320*F316*O316/1000000),4)</f>
        <v>8.9999999999999998E-4</v>
      </c>
      <c r="AA320" s="49">
        <f>ROUND((Q316*U320*F316*O316/1000000),4)</f>
        <v>0</v>
      </c>
      <c r="AB320" s="49">
        <f>ROUND((R316*V320*F316*O316/1000000),4)</f>
        <v>0</v>
      </c>
      <c r="AC320" s="50" t="s">
        <v>250</v>
      </c>
      <c r="AD320" s="51" t="s">
        <v>208</v>
      </c>
      <c r="AE320" s="44">
        <f>ROUND((((X320*E316)/1800)),4)</f>
        <v>3.5000000000000001E-3</v>
      </c>
      <c r="AF320" s="44">
        <f>ROUND(((Z320+AA320+AB320)),4)</f>
        <v>8.9999999999999998E-4</v>
      </c>
      <c r="AG320" s="88"/>
      <c r="AH320" s="88"/>
    </row>
    <row r="321" spans="1:34" ht="12.95" customHeight="1" x14ac:dyDescent="0.25">
      <c r="A321" s="63"/>
      <c r="B321" s="72"/>
      <c r="C321" s="66"/>
      <c r="D321" s="56"/>
      <c r="E321" s="56"/>
      <c r="F321" s="66"/>
      <c r="G321" s="56"/>
      <c r="H321" s="56"/>
      <c r="I321" s="56"/>
      <c r="J321" s="56"/>
      <c r="K321" s="56"/>
      <c r="L321" s="59">
        <v>0.77</v>
      </c>
      <c r="M321" s="59">
        <v>0.94</v>
      </c>
      <c r="N321" s="56"/>
      <c r="O321" s="56"/>
      <c r="P321" s="56"/>
      <c r="Q321" s="56"/>
      <c r="R321" s="56"/>
      <c r="S321" s="61">
        <v>1.44</v>
      </c>
      <c r="T321" s="48">
        <f>ROUND((L321*I316+1.3*L321*K316+S321*H316),4)</f>
        <v>345.69749999999999</v>
      </c>
      <c r="U321" s="48">
        <f>ROUND((M321*0.9*I316+1.3*M321*0.9*K316+S321*H316),4)</f>
        <v>371.29050000000001</v>
      </c>
      <c r="V321" s="48">
        <f>ROUND((M321*I316+1.3*M321*K316+S321*H316),4)</f>
        <v>402.94499999999999</v>
      </c>
      <c r="W321" s="48">
        <f>ROUND((L321*J316+1.3*L321*N316+S321*G316),4)</f>
        <v>29.43</v>
      </c>
      <c r="X321" s="48">
        <f>ROUND((M321*0.9*J316+1.3*M321*0.9*N316+S321*G316),4)</f>
        <v>31.481999999999999</v>
      </c>
      <c r="Y321" s="48">
        <f>ROUND((M321*J316+1.3*M321*N316+S321*G316),4)</f>
        <v>34.020000000000003</v>
      </c>
      <c r="Z321" s="49">
        <f>ROUND((P316*T321*F316*O316/1000000),4)</f>
        <v>5.1999999999999998E-3</v>
      </c>
      <c r="AA321" s="49">
        <f>ROUND((Q316*U321*F316*O316/1000000),4)</f>
        <v>0</v>
      </c>
      <c r="AB321" s="49">
        <f>ROUND((R316*V321*F316*O316/1000000),4)</f>
        <v>0</v>
      </c>
      <c r="AC321" s="50" t="s">
        <v>170</v>
      </c>
      <c r="AD321" s="51" t="s">
        <v>162</v>
      </c>
      <c r="AE321" s="44">
        <f>ROUND((((X321*E316)/1800)),4)</f>
        <v>1.7500000000000002E-2</v>
      </c>
      <c r="AF321" s="44">
        <f>ROUND(((Z321+AA321+AB321)),4)</f>
        <v>5.1999999999999998E-3</v>
      </c>
      <c r="AG321" s="88"/>
      <c r="AH321" s="88"/>
    </row>
    <row r="322" spans="1:34" ht="12.95" customHeight="1" x14ac:dyDescent="0.25">
      <c r="A322" s="89"/>
      <c r="B322" s="46" t="s">
        <v>231</v>
      </c>
      <c r="C322" s="46">
        <v>6</v>
      </c>
      <c r="D322" s="45" t="s">
        <v>210</v>
      </c>
      <c r="E322" s="45">
        <v>1</v>
      </c>
      <c r="F322" s="45">
        <v>1</v>
      </c>
      <c r="G322" s="45">
        <v>6</v>
      </c>
      <c r="H322" s="45">
        <v>60</v>
      </c>
      <c r="I322" s="45">
        <f>(8-1-0.75*2)*60*F322-K322-8*0.12*60</f>
        <v>57.900000000000006</v>
      </c>
      <c r="J322" s="45">
        <v>14</v>
      </c>
      <c r="K322" s="45">
        <f>(8-1-0.75*2)*0.65*60*F322</f>
        <v>214.5</v>
      </c>
      <c r="L322" s="48">
        <v>6.47</v>
      </c>
      <c r="M322" s="48">
        <v>6.47</v>
      </c>
      <c r="N322" s="45">
        <v>10</v>
      </c>
      <c r="O322" s="45">
        <f>E322/F322</f>
        <v>1</v>
      </c>
      <c r="P322" s="45">
        <v>10</v>
      </c>
      <c r="Q322" s="45">
        <v>0</v>
      </c>
      <c r="R322" s="47">
        <v>0</v>
      </c>
      <c r="S322" s="47">
        <v>1.27</v>
      </c>
      <c r="T322" s="48">
        <f>ROUND((L322*I322+1.3*L322*K322+S322*H322),4)</f>
        <v>2254.9724999999999</v>
      </c>
      <c r="U322" s="48">
        <f>ROUND((M322*I322+1.3*M322*K322+S322*H322),4)</f>
        <v>2254.9724999999999</v>
      </c>
      <c r="V322" s="48">
        <f>ROUND((M322*I322+1.3*M322*K322+S322*H322),4)</f>
        <v>2254.9724999999999</v>
      </c>
      <c r="W322" s="48">
        <f>ROUND((L322*J322+1.3*L322*N322+S322*G322),4)</f>
        <v>182.31</v>
      </c>
      <c r="X322" s="48">
        <f>ROUND((M322*J322+1.3*M322*N322+S322*G322),4)</f>
        <v>182.31</v>
      </c>
      <c r="Y322" s="48">
        <f>ROUND((M322*J322+1.3*M322*N322+S322*G322),4)</f>
        <v>182.31</v>
      </c>
      <c r="Z322" s="49">
        <f>ROUND((P322*T322*F322*O322/1000000),4)</f>
        <v>2.2499999999999999E-2</v>
      </c>
      <c r="AA322" s="49">
        <f>ROUND((Q322*U322*F322*O322/1000000),4)</f>
        <v>0</v>
      </c>
      <c r="AB322" s="49">
        <f>ROUND((R322*V322*F322*O322/1000000),4)</f>
        <v>0</v>
      </c>
      <c r="AC322" s="50" t="s">
        <v>200</v>
      </c>
      <c r="AD322" s="51" t="s">
        <v>153</v>
      </c>
      <c r="AE322" s="44">
        <f>ROUND((((X322*E322)/1800)*0.8),4)</f>
        <v>8.1000000000000003E-2</v>
      </c>
      <c r="AF322" s="44">
        <f>ROUND(((Z322+AA322+AB322)*0.8),4)</f>
        <v>1.7999999999999999E-2</v>
      </c>
      <c r="AG322" s="88"/>
      <c r="AH322" s="88"/>
    </row>
    <row r="323" spans="1:34" ht="12.95" customHeight="1" x14ac:dyDescent="0.25">
      <c r="A323" s="89"/>
      <c r="B323" s="53" t="s">
        <v>232</v>
      </c>
      <c r="C323" s="52"/>
      <c r="D323" s="52"/>
      <c r="E323" s="52"/>
      <c r="F323" s="63"/>
      <c r="G323" s="52"/>
      <c r="H323" s="52"/>
      <c r="I323" s="52"/>
      <c r="J323" s="52"/>
      <c r="K323" s="52"/>
      <c r="L323" s="56"/>
      <c r="M323" s="56"/>
      <c r="N323" s="52"/>
      <c r="O323" s="52"/>
      <c r="P323" s="52"/>
      <c r="Q323" s="52"/>
      <c r="R323" s="52"/>
      <c r="S323" s="57"/>
      <c r="T323" s="54"/>
      <c r="U323" s="54"/>
      <c r="V323" s="54"/>
      <c r="W323" s="54"/>
      <c r="X323" s="54"/>
      <c r="Y323" s="54"/>
      <c r="Z323" s="54"/>
      <c r="AA323" s="54"/>
      <c r="AB323" s="54"/>
      <c r="AC323" s="50" t="s">
        <v>201</v>
      </c>
      <c r="AD323" s="51" t="s">
        <v>202</v>
      </c>
      <c r="AE323" s="44">
        <f>ROUND((((X322*E322)/1800)*0.13),4)</f>
        <v>1.32E-2</v>
      </c>
      <c r="AF323" s="44">
        <f>ROUND(((Z322+AA322+AB322)*0.13),4)</f>
        <v>2.8999999999999998E-3</v>
      </c>
      <c r="AG323" s="88"/>
      <c r="AH323" s="88"/>
    </row>
    <row r="324" spans="1:34" ht="12.95" customHeight="1" x14ac:dyDescent="0.25">
      <c r="A324" s="89"/>
      <c r="B324" s="67"/>
      <c r="C324" s="55"/>
      <c r="D324" s="55"/>
      <c r="E324" s="52"/>
      <c r="F324" s="63"/>
      <c r="G324" s="52"/>
      <c r="H324" s="52"/>
      <c r="I324" s="52"/>
      <c r="J324" s="52"/>
      <c r="K324" s="52"/>
      <c r="L324" s="59">
        <v>0.51</v>
      </c>
      <c r="M324" s="59">
        <v>0.63</v>
      </c>
      <c r="N324" s="52"/>
      <c r="O324" s="52"/>
      <c r="P324" s="52"/>
      <c r="Q324" s="52"/>
      <c r="R324" s="52"/>
      <c r="S324" s="60">
        <v>0.25</v>
      </c>
      <c r="T324" s="48">
        <f>ROUND((L324*I322+1.3*L324*K322+S324*H322),4)</f>
        <v>186.74250000000001</v>
      </c>
      <c r="U324" s="48">
        <f>ROUND((M324*0.9*I322+1.3*M324*0.9*K322+S324*H322),4)</f>
        <v>205.93729999999999</v>
      </c>
      <c r="V324" s="48">
        <f>ROUND((M324*I322+1.3*M324*K322+S324*H322),4)</f>
        <v>227.1525</v>
      </c>
      <c r="W324" s="48">
        <f>ROUND((L324*J322+1.3*L324*N322+S324*G322),4)</f>
        <v>15.27</v>
      </c>
      <c r="X324" s="48">
        <f>ROUND((M324*0.9*J322+1.3*M324*0.9*N322+S324*G322),4)</f>
        <v>16.809000000000001</v>
      </c>
      <c r="Y324" s="48">
        <f>ROUND((M324*J322+1.3*M324*N322+S324*G322),4)</f>
        <v>18.510000000000002</v>
      </c>
      <c r="Z324" s="49">
        <f>ROUND((P322*T324*F322*O322/1000000),4)</f>
        <v>1.9E-3</v>
      </c>
      <c r="AA324" s="49">
        <f>ROUND((Q322*U324*F322*O322/1000000),4)</f>
        <v>0</v>
      </c>
      <c r="AB324" s="49">
        <f>ROUND((R322*V324*F322*O322/1000000),4)</f>
        <v>0</v>
      </c>
      <c r="AC324" s="50" t="s">
        <v>203</v>
      </c>
      <c r="AD324" s="51" t="s">
        <v>204</v>
      </c>
      <c r="AE324" s="44">
        <f>ROUND((((X324*E322)/1800)),4)</f>
        <v>9.2999999999999992E-3</v>
      </c>
      <c r="AF324" s="44">
        <f>ROUND(((Z324+AA324+AB324)),5)</f>
        <v>1.9E-3</v>
      </c>
      <c r="AG324" s="88"/>
      <c r="AH324" s="88"/>
    </row>
    <row r="325" spans="1:34" ht="12.95" customHeight="1" x14ac:dyDescent="0.25">
      <c r="A325" s="89"/>
      <c r="B325" s="53"/>
      <c r="C325" s="52"/>
      <c r="D325" s="52"/>
      <c r="E325" s="52"/>
      <c r="F325" s="63"/>
      <c r="G325" s="52"/>
      <c r="H325" s="52"/>
      <c r="I325" s="52"/>
      <c r="J325" s="52"/>
      <c r="K325" s="52"/>
      <c r="L325" s="59">
        <v>1.1399999999999999</v>
      </c>
      <c r="M325" s="59">
        <v>1.37</v>
      </c>
      <c r="N325" s="52"/>
      <c r="O325" s="52"/>
      <c r="P325" s="52"/>
      <c r="Q325" s="52"/>
      <c r="R325" s="52"/>
      <c r="S325" s="61">
        <v>0.79</v>
      </c>
      <c r="T325" s="48">
        <f>ROUND((L325*I322+1.3*L325*K322+S325*H322),4)</f>
        <v>431.29500000000002</v>
      </c>
      <c r="U325" s="48">
        <f>ROUND((M325*0.9*I322+1.3*M325*0.9*K322+S325*H322),4)</f>
        <v>462.61279999999999</v>
      </c>
      <c r="V325" s="48">
        <f>ROUND((M325*I322+1.3*M325*K322+S325*H322),4)</f>
        <v>508.7475</v>
      </c>
      <c r="W325" s="48">
        <f>ROUND((L325*J322+1.3*L325*N322+S325*G322),4)</f>
        <v>35.520000000000003</v>
      </c>
      <c r="X325" s="48">
        <f>ROUND((M325*0.9*J322+1.3*M325*0.9*N322+S325*G322),4)</f>
        <v>38.030999999999999</v>
      </c>
      <c r="Y325" s="48">
        <f>ROUND((M325*J322+1.3*N322+S325*G322),4)</f>
        <v>36.92</v>
      </c>
      <c r="Z325" s="49">
        <f>ROUND((P322*T325*F322*O322/1000000),4)</f>
        <v>4.3E-3</v>
      </c>
      <c r="AA325" s="49">
        <f>ROUND((Q322*U325*F322*O322/1000000),4)</f>
        <v>0</v>
      </c>
      <c r="AB325" s="49">
        <f>ROUND((R322*V325*F322*O322/1000000),4)</f>
        <v>0</v>
      </c>
      <c r="AC325" s="50" t="s">
        <v>205</v>
      </c>
      <c r="AD325" s="51" t="s">
        <v>206</v>
      </c>
      <c r="AE325" s="44">
        <f>ROUND((((X325*E322)/1800)),4)</f>
        <v>2.1100000000000001E-2</v>
      </c>
      <c r="AF325" s="44">
        <f>ROUND(((Z325+AA325+AB325)),4)</f>
        <v>4.3E-3</v>
      </c>
      <c r="AG325" s="88"/>
      <c r="AH325" s="88"/>
    </row>
    <row r="326" spans="1:34" ht="12.95" customHeight="1" x14ac:dyDescent="0.25">
      <c r="A326" s="89"/>
      <c r="B326" s="53"/>
      <c r="C326" s="52"/>
      <c r="D326" s="52"/>
      <c r="E326" s="52"/>
      <c r="F326" s="63"/>
      <c r="G326" s="52"/>
      <c r="H326" s="52"/>
      <c r="I326" s="52"/>
      <c r="J326" s="52"/>
      <c r="K326" s="52"/>
      <c r="L326" s="59">
        <v>0.72</v>
      </c>
      <c r="M326" s="59">
        <v>1.08</v>
      </c>
      <c r="N326" s="52"/>
      <c r="O326" s="52"/>
      <c r="P326" s="52"/>
      <c r="Q326" s="52"/>
      <c r="R326" s="52"/>
      <c r="S326" s="61">
        <v>0.17</v>
      </c>
      <c r="T326" s="48">
        <f>ROUND((L326*I322+1.3*L326*K322+S326*H322),4)</f>
        <v>252.66</v>
      </c>
      <c r="U326" s="48">
        <f>ROUND((M326*0.9*I322+1.3*M326*0.9*K322+S326*H322),4)</f>
        <v>337.52100000000002</v>
      </c>
      <c r="V326" s="48">
        <f>ROUND((M326*I322+1.3*M326*K322+S326*H322),4)</f>
        <v>373.89</v>
      </c>
      <c r="W326" s="48">
        <f>ROUND((L326*J322+1.3*L326*N322+S326*G322),4)</f>
        <v>20.46</v>
      </c>
      <c r="X326" s="48">
        <f>ROUND((M326*0.9*J322+1.3*M326*0.9*N322+S326*G322),4)</f>
        <v>27.263999999999999</v>
      </c>
      <c r="Y326" s="48">
        <f>ROUND((M326*J322+1.3*M326*N322+S326*G322),4)</f>
        <v>30.18</v>
      </c>
      <c r="Z326" s="49">
        <f>ROUND((P322*T326*F322*O322/1000000),4)</f>
        <v>2.5000000000000001E-3</v>
      </c>
      <c r="AA326" s="49">
        <f>ROUND((Q322*U326*F322*O322/1000000),4)</f>
        <v>0</v>
      </c>
      <c r="AB326" s="49">
        <f>ROUND((R322*V326*F322*O322/1000000),4)</f>
        <v>0</v>
      </c>
      <c r="AC326" s="50" t="s">
        <v>250</v>
      </c>
      <c r="AD326" s="51" t="s">
        <v>208</v>
      </c>
      <c r="AE326" s="44">
        <f>ROUND((((X326*E322)/1800)),4)</f>
        <v>1.5100000000000001E-2</v>
      </c>
      <c r="AF326" s="44">
        <f>ROUND(((Z326+AA326+AB326)),4)</f>
        <v>2.5000000000000001E-3</v>
      </c>
      <c r="AG326" s="88"/>
      <c r="AH326" s="88"/>
    </row>
    <row r="327" spans="1:34" ht="12.95" customHeight="1" x14ac:dyDescent="0.25">
      <c r="A327" s="89"/>
      <c r="B327" s="62"/>
      <c r="C327" s="56"/>
      <c r="D327" s="56"/>
      <c r="E327" s="56"/>
      <c r="F327" s="66"/>
      <c r="G327" s="56"/>
      <c r="H327" s="56"/>
      <c r="I327" s="56"/>
      <c r="J327" s="56"/>
      <c r="K327" s="56"/>
      <c r="L327" s="59">
        <v>3.37</v>
      </c>
      <c r="M327" s="59">
        <v>4.1100000000000003</v>
      </c>
      <c r="N327" s="56"/>
      <c r="O327" s="56"/>
      <c r="P327" s="56"/>
      <c r="Q327" s="56"/>
      <c r="R327" s="56"/>
      <c r="S327" s="61">
        <v>6.31</v>
      </c>
      <c r="T327" s="48">
        <f>ROUND((L327*I322+1.3*L327*K322+S327*H322),4)</f>
        <v>1513.4475</v>
      </c>
      <c r="U327" s="48">
        <f>ROUND((M327*0.9*I322+1.3*M327*0.9*K322+S327*H322),4)</f>
        <v>1624.2383</v>
      </c>
      <c r="V327" s="48">
        <f>ROUND((M327*I322+1.3*M327*K322+S327*H322),4)</f>
        <v>1762.6424999999999</v>
      </c>
      <c r="W327" s="48">
        <f>ROUND((L327*J322+1.3*L327*N322+S327*G322),4)</f>
        <v>128.85</v>
      </c>
      <c r="X327" s="48">
        <f>ROUND((M327*0.9*J322+1.3*M327*0.9*N322+S327*G322),4)</f>
        <v>137.733</v>
      </c>
      <c r="Y327" s="48">
        <f>ROUND((M327*J322+1.3*M327*N322+S327*G322),4)</f>
        <v>148.83000000000001</v>
      </c>
      <c r="Z327" s="49">
        <f>ROUND((P322*T327*F322*O322/1000000),4)</f>
        <v>1.5100000000000001E-2</v>
      </c>
      <c r="AA327" s="49">
        <f>ROUND((Q322*U327*F322*O322/1000000),4)</f>
        <v>0</v>
      </c>
      <c r="AB327" s="49">
        <f>ROUND((R322*V327*F322*O322/1000000),4)</f>
        <v>0</v>
      </c>
      <c r="AC327" s="50" t="s">
        <v>170</v>
      </c>
      <c r="AD327" s="51" t="s">
        <v>162</v>
      </c>
      <c r="AE327" s="44">
        <f>ROUND((((X327*E322)/1800)),4)</f>
        <v>7.6499999999999999E-2</v>
      </c>
      <c r="AF327" s="44">
        <f>ROUND(((Z327+AA327+AB327)),4)</f>
        <v>1.5100000000000001E-2</v>
      </c>
      <c r="AG327" s="88"/>
      <c r="AH327" s="88"/>
    </row>
    <row r="328" spans="1:34" ht="12.95" customHeight="1" x14ac:dyDescent="0.25">
      <c r="A328" s="89"/>
      <c r="B328" s="46" t="s">
        <v>234</v>
      </c>
      <c r="C328" s="46">
        <v>6</v>
      </c>
      <c r="D328" s="45" t="s">
        <v>210</v>
      </c>
      <c r="E328" s="45">
        <v>1</v>
      </c>
      <c r="F328" s="45">
        <v>1</v>
      </c>
      <c r="G328" s="45">
        <v>6</v>
      </c>
      <c r="H328" s="45">
        <v>60</v>
      </c>
      <c r="I328" s="45">
        <f>(8-1-0.75*2)*60*F328-K328-8*0.12*60</f>
        <v>57.900000000000006</v>
      </c>
      <c r="J328" s="45">
        <v>14</v>
      </c>
      <c r="K328" s="45">
        <f>(8-1-0.75*2)*0.65*60*F328</f>
        <v>214.5</v>
      </c>
      <c r="L328" s="48">
        <v>6.47</v>
      </c>
      <c r="M328" s="48">
        <v>6.47</v>
      </c>
      <c r="N328" s="45">
        <v>10</v>
      </c>
      <c r="O328" s="45">
        <f>E328/F328</f>
        <v>1</v>
      </c>
      <c r="P328" s="45">
        <v>30</v>
      </c>
      <c r="Q328" s="45">
        <v>0</v>
      </c>
      <c r="R328" s="47">
        <v>0</v>
      </c>
      <c r="S328" s="47">
        <v>1.27</v>
      </c>
      <c r="T328" s="48">
        <f>ROUND((L328*I328+1.3*L328*K328+S328*H328),4)</f>
        <v>2254.9724999999999</v>
      </c>
      <c r="U328" s="48">
        <f>ROUND((M328*I328+1.3*M328*K328+S328*H328),4)</f>
        <v>2254.9724999999999</v>
      </c>
      <c r="V328" s="48">
        <f>ROUND((M328*I328+1.3*M328*K328+S328*H328),4)</f>
        <v>2254.9724999999999</v>
      </c>
      <c r="W328" s="48">
        <f>ROUND((L328*J328+1.3*L328*N328+S328*G328),4)</f>
        <v>182.31</v>
      </c>
      <c r="X328" s="48">
        <f>ROUND((M328*J328+1.3*M328*N328+S328*G328),4)</f>
        <v>182.31</v>
      </c>
      <c r="Y328" s="48">
        <f>ROUND((M328*J328+1.3*M328*N328+S328*G328),4)</f>
        <v>182.31</v>
      </c>
      <c r="Z328" s="49">
        <f>ROUND((P328*T328*F328*O328/1000000),4)</f>
        <v>6.7599999999999993E-2</v>
      </c>
      <c r="AA328" s="49">
        <f>ROUND((Q328*U328*F328*O328/1000000),4)</f>
        <v>0</v>
      </c>
      <c r="AB328" s="49">
        <f>ROUND((R328*V328*F328*O328/1000000),4)</f>
        <v>0</v>
      </c>
      <c r="AC328" s="50" t="s">
        <v>200</v>
      </c>
      <c r="AD328" s="51" t="s">
        <v>153</v>
      </c>
      <c r="AE328" s="44">
        <f>ROUND((((X328*E328)/1800)*0.8),4)</f>
        <v>8.1000000000000003E-2</v>
      </c>
      <c r="AF328" s="44">
        <f>ROUND(((Z328+AA328+AB328)*0.8),4)</f>
        <v>5.4100000000000002E-2</v>
      </c>
      <c r="AG328" s="88"/>
      <c r="AH328" s="88"/>
    </row>
    <row r="329" spans="1:34" ht="12.95" customHeight="1" x14ac:dyDescent="0.25">
      <c r="A329" s="89"/>
      <c r="B329" s="53" t="s">
        <v>235</v>
      </c>
      <c r="C329" s="52"/>
      <c r="D329" s="52"/>
      <c r="E329" s="52"/>
      <c r="F329" s="63"/>
      <c r="G329" s="52"/>
      <c r="H329" s="52"/>
      <c r="I329" s="52"/>
      <c r="J329" s="52"/>
      <c r="K329" s="52"/>
      <c r="L329" s="56"/>
      <c r="M329" s="56"/>
      <c r="N329" s="52"/>
      <c r="O329" s="52"/>
      <c r="P329" s="52"/>
      <c r="Q329" s="52"/>
      <c r="R329" s="52"/>
      <c r="S329" s="57"/>
      <c r="T329" s="54"/>
      <c r="U329" s="54"/>
      <c r="V329" s="54"/>
      <c r="W329" s="54"/>
      <c r="X329" s="54"/>
      <c r="Y329" s="54"/>
      <c r="Z329" s="54"/>
      <c r="AA329" s="54"/>
      <c r="AB329" s="54"/>
      <c r="AC329" s="50" t="s">
        <v>201</v>
      </c>
      <c r="AD329" s="51" t="s">
        <v>202</v>
      </c>
      <c r="AE329" s="44">
        <f>ROUND((((X328*E328)/1800)*0.13),4)</f>
        <v>1.32E-2</v>
      </c>
      <c r="AF329" s="44">
        <f>ROUND(((Z328+AA328+AB328)*0.13),4)</f>
        <v>8.8000000000000005E-3</v>
      </c>
      <c r="AG329" s="88"/>
      <c r="AH329" s="88"/>
    </row>
    <row r="330" spans="1:34" ht="12.95" customHeight="1" x14ac:dyDescent="0.25">
      <c r="A330" s="89"/>
      <c r="B330" s="67"/>
      <c r="C330" s="55"/>
      <c r="D330" s="55"/>
      <c r="E330" s="52"/>
      <c r="F330" s="63"/>
      <c r="G330" s="52"/>
      <c r="H330" s="52"/>
      <c r="I330" s="52"/>
      <c r="J330" s="52"/>
      <c r="K330" s="52"/>
      <c r="L330" s="59">
        <v>0.51</v>
      </c>
      <c r="M330" s="59">
        <v>0.63</v>
      </c>
      <c r="N330" s="52"/>
      <c r="O330" s="52"/>
      <c r="P330" s="52"/>
      <c r="Q330" s="52"/>
      <c r="R330" s="52"/>
      <c r="S330" s="60">
        <v>0.25</v>
      </c>
      <c r="T330" s="48">
        <f>ROUND((L330*I328+1.3*L330*K328+S330*H328),4)</f>
        <v>186.74250000000001</v>
      </c>
      <c r="U330" s="48">
        <f>ROUND((M330*0.9*I328+1.3*M330*0.9*K328+S330*H328),4)</f>
        <v>205.93729999999999</v>
      </c>
      <c r="V330" s="48">
        <f>ROUND((M330*I328+1.3*M330*K328+S330*H328),4)</f>
        <v>227.1525</v>
      </c>
      <c r="W330" s="48">
        <f>ROUND((L330*J328+1.3*L330*N328+S330*G328),4)</f>
        <v>15.27</v>
      </c>
      <c r="X330" s="48">
        <f>ROUND((M330*0.9*J328+1.3*M330*0.9*N328+S330*G328),4)</f>
        <v>16.809000000000001</v>
      </c>
      <c r="Y330" s="48">
        <f>ROUND((M330*J328+1.3*M330*N328+S330*G328),4)</f>
        <v>18.510000000000002</v>
      </c>
      <c r="Z330" s="49">
        <f>ROUND((P328*T330*F328*O328/1000000),4)</f>
        <v>5.5999999999999999E-3</v>
      </c>
      <c r="AA330" s="49">
        <f>ROUND((Q328*U330*F328*O328/1000000),4)</f>
        <v>0</v>
      </c>
      <c r="AB330" s="49">
        <f>ROUND((R328*V330*F328*O328/1000000),4)</f>
        <v>0</v>
      </c>
      <c r="AC330" s="50" t="s">
        <v>203</v>
      </c>
      <c r="AD330" s="51" t="s">
        <v>204</v>
      </c>
      <c r="AE330" s="44">
        <f>ROUND((((X330*E328)/1800)),4)</f>
        <v>9.2999999999999992E-3</v>
      </c>
      <c r="AF330" s="44">
        <f>ROUND(((Z330+AA330+AB330)),5)</f>
        <v>5.5999999999999999E-3</v>
      </c>
      <c r="AG330" s="88"/>
      <c r="AH330" s="88"/>
    </row>
    <row r="331" spans="1:34" ht="12.95" customHeight="1" x14ac:dyDescent="0.25">
      <c r="A331" s="89"/>
      <c r="B331" s="53"/>
      <c r="C331" s="52"/>
      <c r="D331" s="52"/>
      <c r="E331" s="52"/>
      <c r="F331" s="63"/>
      <c r="G331" s="52"/>
      <c r="H331" s="52"/>
      <c r="I331" s="52"/>
      <c r="J331" s="52"/>
      <c r="K331" s="52"/>
      <c r="L331" s="59">
        <v>1.1399999999999999</v>
      </c>
      <c r="M331" s="59">
        <v>1.37</v>
      </c>
      <c r="N331" s="52"/>
      <c r="O331" s="52"/>
      <c r="P331" s="52"/>
      <c r="Q331" s="52"/>
      <c r="R331" s="52"/>
      <c r="S331" s="61">
        <v>0.79</v>
      </c>
      <c r="T331" s="48">
        <f>ROUND((L331*I328+1.3*L331*K328+S331*H328),4)</f>
        <v>431.29500000000002</v>
      </c>
      <c r="U331" s="48">
        <f>ROUND((M331*0.9*I328+1.3*M331*0.9*K328+S331*H328),4)</f>
        <v>462.61279999999999</v>
      </c>
      <c r="V331" s="48">
        <f>ROUND((M331*I328+1.3*M331*K328+S331*H328),4)</f>
        <v>508.7475</v>
      </c>
      <c r="W331" s="48">
        <f>ROUND((L331*J328+1.3*L331*N328+S331*G328),4)</f>
        <v>35.520000000000003</v>
      </c>
      <c r="X331" s="48">
        <f>ROUND((M331*0.9*J328+1.3*M331*0.9*N328+S331*G328),4)</f>
        <v>38.030999999999999</v>
      </c>
      <c r="Y331" s="48">
        <f>ROUND((M331*J328+1.3*N328+S331*G328),4)</f>
        <v>36.92</v>
      </c>
      <c r="Z331" s="49">
        <f>ROUND((P328*T331*F328*O328/1000000),4)</f>
        <v>1.29E-2</v>
      </c>
      <c r="AA331" s="49">
        <f>ROUND((Q328*U331*F328*O328/1000000),4)</f>
        <v>0</v>
      </c>
      <c r="AB331" s="49">
        <f>ROUND((R328*V331*F328*O328/1000000),4)</f>
        <v>0</v>
      </c>
      <c r="AC331" s="50" t="s">
        <v>205</v>
      </c>
      <c r="AD331" s="51" t="s">
        <v>206</v>
      </c>
      <c r="AE331" s="44">
        <f>ROUND((((X331*E328)/1800)),4)</f>
        <v>2.1100000000000001E-2</v>
      </c>
      <c r="AF331" s="44">
        <f>ROUND(((Z331+AA331+AB331)),4)</f>
        <v>1.29E-2</v>
      </c>
      <c r="AG331" s="88"/>
      <c r="AH331" s="88"/>
    </row>
    <row r="332" spans="1:34" ht="12.95" customHeight="1" x14ac:dyDescent="0.25">
      <c r="A332" s="89"/>
      <c r="B332" s="53"/>
      <c r="C332" s="52"/>
      <c r="D332" s="52"/>
      <c r="E332" s="52"/>
      <c r="F332" s="63"/>
      <c r="G332" s="52"/>
      <c r="H332" s="52"/>
      <c r="I332" s="52"/>
      <c r="J332" s="52"/>
      <c r="K332" s="52"/>
      <c r="L332" s="59">
        <v>0.72</v>
      </c>
      <c r="M332" s="59">
        <v>1.08</v>
      </c>
      <c r="N332" s="52"/>
      <c r="O332" s="52"/>
      <c r="P332" s="52"/>
      <c r="Q332" s="52"/>
      <c r="R332" s="52"/>
      <c r="S332" s="61">
        <v>0.17</v>
      </c>
      <c r="T332" s="48">
        <f>ROUND((L332*I328+1.3*L332*K328+S332*H328),4)</f>
        <v>252.66</v>
      </c>
      <c r="U332" s="48">
        <f>ROUND((M332*0.9*I328+1.3*M332*0.9*K328+S332*H328),4)</f>
        <v>337.52100000000002</v>
      </c>
      <c r="V332" s="48">
        <f>ROUND((M332*I328+1.3*M332*K328+S332*H328),4)</f>
        <v>373.89</v>
      </c>
      <c r="W332" s="48">
        <f>ROUND((L332*J328+1.3*L332*N328+S332*G328),4)</f>
        <v>20.46</v>
      </c>
      <c r="X332" s="48">
        <f>ROUND((M332*0.9*J328+1.3*M332*0.9*N328+S332*G328),4)</f>
        <v>27.263999999999999</v>
      </c>
      <c r="Y332" s="48">
        <f>ROUND((M332*J328+1.3*M332*N328+S332*G328),4)</f>
        <v>30.18</v>
      </c>
      <c r="Z332" s="49">
        <f>ROUND((P328*T332*F328*O328/1000000),4)</f>
        <v>7.6E-3</v>
      </c>
      <c r="AA332" s="49">
        <f>ROUND((Q328*U332*F328*O328/1000000),4)</f>
        <v>0</v>
      </c>
      <c r="AB332" s="49">
        <f>ROUND((R328*V332*F328*O328/1000000),4)</f>
        <v>0</v>
      </c>
      <c r="AC332" s="50" t="s">
        <v>250</v>
      </c>
      <c r="AD332" s="51" t="s">
        <v>208</v>
      </c>
      <c r="AE332" s="44">
        <f>ROUND((((X332*E328)/1800)),4)</f>
        <v>1.5100000000000001E-2</v>
      </c>
      <c r="AF332" s="44">
        <f>ROUND(((Z332+AA332+AB332)),4)</f>
        <v>7.6E-3</v>
      </c>
      <c r="AG332" s="88"/>
      <c r="AH332" s="88"/>
    </row>
    <row r="333" spans="1:34" ht="12.95" customHeight="1" x14ac:dyDescent="0.25">
      <c r="A333" s="89"/>
      <c r="B333" s="62"/>
      <c r="C333" s="56"/>
      <c r="D333" s="56"/>
      <c r="E333" s="56"/>
      <c r="F333" s="66"/>
      <c r="G333" s="56"/>
      <c r="H333" s="56"/>
      <c r="I333" s="56"/>
      <c r="J333" s="56"/>
      <c r="K333" s="56"/>
      <c r="L333" s="59">
        <v>3.37</v>
      </c>
      <c r="M333" s="59">
        <v>4.1100000000000003</v>
      </c>
      <c r="N333" s="56"/>
      <c r="O333" s="56"/>
      <c r="P333" s="56"/>
      <c r="Q333" s="56"/>
      <c r="R333" s="56"/>
      <c r="S333" s="61">
        <v>6.31</v>
      </c>
      <c r="T333" s="48">
        <f>ROUND((L333*I328+1.3*L333*K328+S333*H328),4)</f>
        <v>1513.4475</v>
      </c>
      <c r="U333" s="48">
        <f>ROUND((M333*0.9*I328+1.3*M333*0.9*K328+S333*H328),4)</f>
        <v>1624.2383</v>
      </c>
      <c r="V333" s="48">
        <f>ROUND((M333*I328+1.3*M333*K328+S333*H328),4)</f>
        <v>1762.6424999999999</v>
      </c>
      <c r="W333" s="48">
        <f>ROUND((L333*J328+1.3*L333*N328+S333*G328),4)</f>
        <v>128.85</v>
      </c>
      <c r="X333" s="48">
        <f>ROUND((M333*0.9*J328+1.3*M333*0.9*N328+S333*G328),4)</f>
        <v>137.733</v>
      </c>
      <c r="Y333" s="48">
        <f>ROUND((M333*J328+1.3*M333*N328+S333*G328),4)</f>
        <v>148.83000000000001</v>
      </c>
      <c r="Z333" s="49">
        <f>ROUND((P328*T333*F328*O328/1000000),4)</f>
        <v>4.5400000000000003E-2</v>
      </c>
      <c r="AA333" s="49">
        <f>ROUND((Q328*U333*F328*O328/1000000),4)</f>
        <v>0</v>
      </c>
      <c r="AB333" s="49">
        <f>ROUND((R328*V333*F328*O328/1000000),4)</f>
        <v>0</v>
      </c>
      <c r="AC333" s="50" t="s">
        <v>170</v>
      </c>
      <c r="AD333" s="51" t="s">
        <v>162</v>
      </c>
      <c r="AE333" s="44">
        <f>ROUND((((X333*E328)/1800)),4)</f>
        <v>7.6499999999999999E-2</v>
      </c>
      <c r="AF333" s="44">
        <f>ROUND(((Z333+AA333+AB333)),4)</f>
        <v>4.5400000000000003E-2</v>
      </c>
      <c r="AG333" s="88"/>
      <c r="AH333" s="88"/>
    </row>
    <row r="334" spans="1:34" ht="12.95" customHeight="1" x14ac:dyDescent="0.25">
      <c r="A334" s="52"/>
      <c r="B334" s="67" t="s">
        <v>220</v>
      </c>
      <c r="C334" s="46">
        <v>7</v>
      </c>
      <c r="D334" s="45" t="s">
        <v>217</v>
      </c>
      <c r="E334" s="45">
        <v>1</v>
      </c>
      <c r="F334" s="45">
        <v>4</v>
      </c>
      <c r="G334" s="45">
        <v>6</v>
      </c>
      <c r="H334" s="45">
        <v>60</v>
      </c>
      <c r="I334" s="45">
        <f>(8-1-0.75*2)*60*F334-K334-8*0.12*60</f>
        <v>404.4</v>
      </c>
      <c r="J334" s="45">
        <v>14</v>
      </c>
      <c r="K334" s="45">
        <f>(8-1-0.75*2)*0.65*60*F334</f>
        <v>858</v>
      </c>
      <c r="L334" s="48">
        <v>10.16</v>
      </c>
      <c r="M334" s="48">
        <v>10.16</v>
      </c>
      <c r="N334" s="45">
        <v>10</v>
      </c>
      <c r="O334" s="45">
        <f>E334/F334</f>
        <v>0.25</v>
      </c>
      <c r="P334" s="45">
        <v>30</v>
      </c>
      <c r="Q334" s="45">
        <v>30</v>
      </c>
      <c r="R334" s="47">
        <v>0</v>
      </c>
      <c r="S334" s="47">
        <v>1.99</v>
      </c>
      <c r="T334" s="48">
        <f>ROUND((L334*I334+1.3*L334*K334+S334*H334),4)</f>
        <v>15560.567999999999</v>
      </c>
      <c r="U334" s="48">
        <f>ROUND((M334*I334+1.3*M334*K334+S334*H334),4)</f>
        <v>15560.567999999999</v>
      </c>
      <c r="V334" s="48">
        <f>ROUND((M334*I334+1.3*M334*K334+S334*H334),4)</f>
        <v>15560.567999999999</v>
      </c>
      <c r="W334" s="48">
        <f>ROUND((L334*J334+1.3*L334*N334+S334*G334),4)</f>
        <v>286.26</v>
      </c>
      <c r="X334" s="48">
        <f>ROUND((M334*J334+1.3*M334*N334+S334*G334),4)</f>
        <v>286.26</v>
      </c>
      <c r="Y334" s="48">
        <f>ROUND((M334*J334+1.3*M334*N334+S334*G334),4)</f>
        <v>286.26</v>
      </c>
      <c r="Z334" s="49">
        <f>ROUND((P334*T334*F334*O334/1000000),4)</f>
        <v>0.46679999999999999</v>
      </c>
      <c r="AA334" s="49">
        <f>ROUND((Q334*U334*F334*O334/1000000),4)</f>
        <v>0.46679999999999999</v>
      </c>
      <c r="AB334" s="49">
        <f>ROUND((R334*V334*F334*O334/1000000),4)</f>
        <v>0</v>
      </c>
      <c r="AC334" s="50" t="s">
        <v>200</v>
      </c>
      <c r="AD334" s="51" t="s">
        <v>153</v>
      </c>
      <c r="AE334" s="44">
        <f>ROUND((((X334*E334)/1800)*0.8),4)</f>
        <v>0.12720000000000001</v>
      </c>
      <c r="AF334" s="44">
        <f>ROUND(((Z334+AA334+AB334)*0.8),4)</f>
        <v>0.74690000000000001</v>
      </c>
    </row>
    <row r="335" spans="1:34" ht="12.95" customHeight="1" x14ac:dyDescent="0.25">
      <c r="A335" s="52"/>
      <c r="B335" s="53" t="s">
        <v>221</v>
      </c>
      <c r="C335" s="52"/>
      <c r="D335" s="52"/>
      <c r="E335" s="52"/>
      <c r="F335" s="52"/>
      <c r="G335" s="52"/>
      <c r="H335" s="52"/>
      <c r="I335" s="52"/>
      <c r="J335" s="52"/>
      <c r="K335" s="52"/>
      <c r="L335" s="56"/>
      <c r="M335" s="56"/>
      <c r="N335" s="52"/>
      <c r="O335" s="52"/>
      <c r="P335" s="52"/>
      <c r="Q335" s="52"/>
      <c r="R335" s="52"/>
      <c r="S335" s="57"/>
      <c r="T335" s="54"/>
      <c r="U335" s="54"/>
      <c r="V335" s="54"/>
      <c r="W335" s="54"/>
      <c r="X335" s="54"/>
      <c r="Y335" s="54"/>
      <c r="Z335" s="54"/>
      <c r="AA335" s="54"/>
      <c r="AB335" s="54"/>
      <c r="AC335" s="50" t="s">
        <v>201</v>
      </c>
      <c r="AD335" s="51" t="s">
        <v>202</v>
      </c>
      <c r="AE335" s="44">
        <f>ROUND((((X334*E334)/1800)*0.13),4)</f>
        <v>2.07E-2</v>
      </c>
      <c r="AF335" s="44">
        <f>ROUND(((Z334+AA334+AB334)*0.13),4)</f>
        <v>0.12139999999999999</v>
      </c>
    </row>
    <row r="336" spans="1:34" ht="12.95" customHeight="1" x14ac:dyDescent="0.25">
      <c r="A336" s="52"/>
      <c r="B336" s="88"/>
      <c r="C336" s="55"/>
      <c r="D336" s="55"/>
      <c r="E336" s="52"/>
      <c r="F336" s="52"/>
      <c r="G336" s="52"/>
      <c r="H336" s="52"/>
      <c r="I336" s="52"/>
      <c r="J336" s="52"/>
      <c r="K336" s="52"/>
      <c r="L336" s="59">
        <v>0.8</v>
      </c>
      <c r="M336" s="59">
        <v>0.98</v>
      </c>
      <c r="N336" s="52"/>
      <c r="O336" s="52"/>
      <c r="P336" s="52"/>
      <c r="Q336" s="52"/>
      <c r="R336" s="52"/>
      <c r="S336" s="60">
        <v>0.39</v>
      </c>
      <c r="T336" s="48">
        <f>ROUND((L336*I334+1.3*L336*K334+S336*H334),4)</f>
        <v>1239.24</v>
      </c>
      <c r="U336" s="48">
        <f>ROUND((M336*0.9*I334+1.3*M336*0.9*K334+S336*H334),4)</f>
        <v>1363.8635999999999</v>
      </c>
      <c r="V336" s="48">
        <f>ROUND((M336*I334+1.3*M336*K334+S336*H334),4)</f>
        <v>1512.8040000000001</v>
      </c>
      <c r="W336" s="48">
        <f>ROUND((L336*J334+1.3*L336*N334+S336*G334),4)</f>
        <v>23.94</v>
      </c>
      <c r="X336" s="48">
        <f>ROUND((M336*0.9*J334+1.3*M336*0.9*N334+S336*G334),4)</f>
        <v>26.154</v>
      </c>
      <c r="Y336" s="48">
        <f>ROUND((M336*J334+1.3*M336*N334+S336*G334),4)</f>
        <v>28.8</v>
      </c>
      <c r="Z336" s="49">
        <f>ROUND((P334*T336*F334*O334/1000000),4)</f>
        <v>3.7199999999999997E-2</v>
      </c>
      <c r="AA336" s="49">
        <f>ROUND((Q334*U336*F334*O334/1000000),4)</f>
        <v>4.0899999999999999E-2</v>
      </c>
      <c r="AB336" s="49">
        <f>ROUND((R334*V336*F334*O334/1000000),4)</f>
        <v>0</v>
      </c>
      <c r="AC336" s="50" t="s">
        <v>203</v>
      </c>
      <c r="AD336" s="51" t="s">
        <v>204</v>
      </c>
      <c r="AE336" s="44">
        <f>ROUND((((X336*E334)/1800)),4)</f>
        <v>1.4500000000000001E-2</v>
      </c>
      <c r="AF336" s="44">
        <f>ROUND(((Z336+AA336+AB336)),5)</f>
        <v>7.8100000000000003E-2</v>
      </c>
    </row>
    <row r="337" spans="1:34" ht="12.95" customHeight="1" x14ac:dyDescent="0.25">
      <c r="A337" s="52"/>
      <c r="B337" s="88"/>
      <c r="C337" s="52"/>
      <c r="D337" s="52"/>
      <c r="E337" s="52"/>
      <c r="F337" s="52"/>
      <c r="G337" s="52"/>
      <c r="H337" s="52"/>
      <c r="I337" s="52"/>
      <c r="J337" s="52"/>
      <c r="K337" s="52"/>
      <c r="L337" s="59">
        <v>1.79</v>
      </c>
      <c r="M337" s="59">
        <v>2.15</v>
      </c>
      <c r="N337" s="52"/>
      <c r="O337" s="52"/>
      <c r="P337" s="52"/>
      <c r="Q337" s="52"/>
      <c r="R337" s="52"/>
      <c r="S337" s="61">
        <v>1.24</v>
      </c>
      <c r="T337" s="48">
        <f>ROUND((L337*I334+1.3*L337*K334+S337*H334),4)</f>
        <v>2794.8420000000001</v>
      </c>
      <c r="U337" s="48">
        <f>ROUND((M337*0.9*I334+1.3*M337*0.9*K334+S337*H334),4)</f>
        <v>3015.2130000000002</v>
      </c>
      <c r="V337" s="48">
        <f>ROUND((M337*I334+1.3*M337*K334+S337*H334),4)</f>
        <v>3341.97</v>
      </c>
      <c r="W337" s="48">
        <f>ROUND((L337*J334+1.3*L337*N334+S337*G334),4)</f>
        <v>55.77</v>
      </c>
      <c r="X337" s="48">
        <f>ROUND((M337*0.9*J334+1.3*M337*0.9*N334+S337*G334),4)</f>
        <v>59.685000000000002</v>
      </c>
      <c r="Y337" s="48">
        <f>ROUND((M337*J334+1.3*N334+S337*G334),4)</f>
        <v>50.54</v>
      </c>
      <c r="Z337" s="49">
        <f>ROUND((P334*T337*F334*O334/1000000),4)</f>
        <v>8.3799999999999999E-2</v>
      </c>
      <c r="AA337" s="49">
        <f>ROUND((Q334*U337*F334*O334/1000000),4)</f>
        <v>9.0499999999999997E-2</v>
      </c>
      <c r="AB337" s="49">
        <f>ROUND((R334*V337*F334*O334/1000000),4)</f>
        <v>0</v>
      </c>
      <c r="AC337" s="50" t="s">
        <v>205</v>
      </c>
      <c r="AD337" s="51" t="s">
        <v>206</v>
      </c>
      <c r="AE337" s="44">
        <f>ROUND((((X337*E334)/1800)),4)</f>
        <v>3.32E-2</v>
      </c>
      <c r="AF337" s="44">
        <f>ROUND(((Z337+AA337+AB337)),4)</f>
        <v>0.17430000000000001</v>
      </c>
    </row>
    <row r="338" spans="1:34" ht="12.95" customHeight="1" x14ac:dyDescent="0.25">
      <c r="A338" s="52"/>
      <c r="B338" s="53"/>
      <c r="C338" s="52"/>
      <c r="D338" s="52"/>
      <c r="E338" s="52"/>
      <c r="F338" s="52"/>
      <c r="G338" s="52"/>
      <c r="H338" s="52"/>
      <c r="I338" s="52"/>
      <c r="J338" s="52"/>
      <c r="K338" s="52"/>
      <c r="L338" s="59">
        <v>1.1299999999999999</v>
      </c>
      <c r="M338" s="59">
        <v>1.7</v>
      </c>
      <c r="N338" s="52"/>
      <c r="O338" s="52"/>
      <c r="P338" s="52"/>
      <c r="Q338" s="52"/>
      <c r="R338" s="52"/>
      <c r="S338" s="61">
        <v>0.26</v>
      </c>
      <c r="T338" s="48">
        <f>ROUND((L338*I334+1.3*L338*K334+S338*H334),4)</f>
        <v>1732.9739999999999</v>
      </c>
      <c r="U338" s="48">
        <f>ROUND((M338*0.9*I334+1.3*M338*0.9*K334+S338*H334),4)</f>
        <v>2340.8939999999998</v>
      </c>
      <c r="V338" s="48">
        <f>ROUND((M338*I334+1.3*M338*K334+S338*H334),4)</f>
        <v>2599.2600000000002</v>
      </c>
      <c r="W338" s="48">
        <f>ROUND((L338*J334+1.3*L338*N334+S338*G334),4)</f>
        <v>32.07</v>
      </c>
      <c r="X338" s="48">
        <f>ROUND((M338*0.9*J334+1.3*M338*0.9*N334+S338*G334),4)</f>
        <v>42.87</v>
      </c>
      <c r="Y338" s="48">
        <f>ROUND((M338*J334+1.3*M338*N334+S338*G334),4)</f>
        <v>47.46</v>
      </c>
      <c r="Z338" s="49">
        <f>ROUND((P334*T338*F334*O334/1000000),4)</f>
        <v>5.1999999999999998E-2</v>
      </c>
      <c r="AA338" s="49">
        <f>ROUND((Q334*U338*F334*O334/1000000),4)</f>
        <v>7.0199999999999999E-2</v>
      </c>
      <c r="AB338" s="49">
        <f>ROUND((R334*V338*F334*O334/1000000),4)</f>
        <v>0</v>
      </c>
      <c r="AC338" s="50" t="s">
        <v>250</v>
      </c>
      <c r="AD338" s="51" t="s">
        <v>208</v>
      </c>
      <c r="AE338" s="44">
        <f>ROUND((((X338*E334)/1800)),4)</f>
        <v>2.3800000000000002E-2</v>
      </c>
      <c r="AF338" s="44">
        <f>ROUND(((Z338+AA338+AB338)),4)</f>
        <v>0.1222</v>
      </c>
    </row>
    <row r="339" spans="1:34" ht="12.95" customHeight="1" x14ac:dyDescent="0.25">
      <c r="A339" s="52"/>
      <c r="B339" s="62"/>
      <c r="C339" s="56"/>
      <c r="D339" s="56"/>
      <c r="E339" s="56"/>
      <c r="F339" s="56"/>
      <c r="G339" s="56"/>
      <c r="H339" s="56"/>
      <c r="I339" s="56"/>
      <c r="J339" s="56"/>
      <c r="K339" s="56"/>
      <c r="L339" s="59">
        <v>5.3</v>
      </c>
      <c r="M339" s="59">
        <v>6.47</v>
      </c>
      <c r="N339" s="56"/>
      <c r="O339" s="56"/>
      <c r="P339" s="56"/>
      <c r="Q339" s="56"/>
      <c r="R339" s="56"/>
      <c r="S339" s="61">
        <v>9.92</v>
      </c>
      <c r="T339" s="48">
        <f>ROUND((L339*I334+1.3*L339*K334+S339*H334),4)</f>
        <v>8650.14</v>
      </c>
      <c r="U339" s="48">
        <f>ROUND((M339*0.9*I334+1.3*M339*0.9*K334+S339*H334),4)</f>
        <v>9444.9953999999998</v>
      </c>
      <c r="V339" s="48">
        <f>ROUND((M339*I334+1.3*M339*K334+S339*H334),4)</f>
        <v>10428.306</v>
      </c>
      <c r="W339" s="48">
        <f>ROUND((L339*J334+1.3*L339*N334+S339*G334),4)</f>
        <v>202.62</v>
      </c>
      <c r="X339" s="48">
        <f>ROUND((M339*0.9*J334+1.3*M339*0.9*N334+S339*G334),4)</f>
        <v>216.74100000000001</v>
      </c>
      <c r="Y339" s="48">
        <f>ROUND((M339*J334+1.3*M339*N334+S339*G334),4)</f>
        <v>234.21</v>
      </c>
      <c r="Z339" s="49">
        <f>ROUND((P334*T339*F334*O334/1000000),4)</f>
        <v>0.25950000000000001</v>
      </c>
      <c r="AA339" s="49">
        <f>ROUND((Q334*U339*F334*O334/1000000),4)</f>
        <v>0.2833</v>
      </c>
      <c r="AB339" s="49">
        <f>ROUND((R334*V339*F334*O334/1000000),4)</f>
        <v>0</v>
      </c>
      <c r="AC339" s="50" t="s">
        <v>170</v>
      </c>
      <c r="AD339" s="51" t="s">
        <v>162</v>
      </c>
      <c r="AE339" s="44">
        <f>ROUND((((X339*E334)/1800)),4)</f>
        <v>0.12039999999999999</v>
      </c>
      <c r="AF339" s="44">
        <f>ROUND(((Z339+AA339+AB339)),4)</f>
        <v>0.54279999999999995</v>
      </c>
    </row>
    <row r="340" spans="1:34" ht="12.95" customHeight="1" x14ac:dyDescent="0.25">
      <c r="A340" s="89"/>
      <c r="B340" s="46" t="s">
        <v>236</v>
      </c>
      <c r="C340" s="46">
        <v>6</v>
      </c>
      <c r="D340" s="45" t="s">
        <v>210</v>
      </c>
      <c r="E340" s="45">
        <v>1</v>
      </c>
      <c r="F340" s="45">
        <v>1</v>
      </c>
      <c r="G340" s="45">
        <v>6</v>
      </c>
      <c r="H340" s="45">
        <v>60</v>
      </c>
      <c r="I340" s="45">
        <f>(8-1-0.75*2)*60*F340-K340-8*0.12*60</f>
        <v>57.900000000000006</v>
      </c>
      <c r="J340" s="45">
        <v>14</v>
      </c>
      <c r="K340" s="45">
        <f>(8-1-0.75*2)*0.65*60*F340</f>
        <v>214.5</v>
      </c>
      <c r="L340" s="48">
        <v>6.47</v>
      </c>
      <c r="M340" s="48">
        <v>6.47</v>
      </c>
      <c r="N340" s="45">
        <v>10</v>
      </c>
      <c r="O340" s="45">
        <f>E340/F340</f>
        <v>1</v>
      </c>
      <c r="P340" s="45">
        <v>15</v>
      </c>
      <c r="Q340" s="45">
        <v>15</v>
      </c>
      <c r="R340" s="47">
        <v>0</v>
      </c>
      <c r="S340" s="47">
        <v>1.27</v>
      </c>
      <c r="T340" s="48">
        <f>ROUND((L340*I340+1.3*L340*K340+S340*H340),4)</f>
        <v>2254.9724999999999</v>
      </c>
      <c r="U340" s="48">
        <f>ROUND((M340*I340+1.3*M340*K340+S340*H340),4)</f>
        <v>2254.9724999999999</v>
      </c>
      <c r="V340" s="48">
        <f>ROUND((M340*I340+1.3*M340*K340+S340*H340),4)</f>
        <v>2254.9724999999999</v>
      </c>
      <c r="W340" s="48">
        <f>ROUND((L340*J340+1.3*L340*N340+S340*G340),4)</f>
        <v>182.31</v>
      </c>
      <c r="X340" s="48">
        <f>ROUND((M340*J340+1.3*M340*N340+S340*G340),4)</f>
        <v>182.31</v>
      </c>
      <c r="Y340" s="48">
        <f>ROUND((M340*J340+1.3*M340*N340+S340*G340),4)</f>
        <v>182.31</v>
      </c>
      <c r="Z340" s="49">
        <f>ROUND((P340*T340*F340*O340/1000000),4)</f>
        <v>3.3799999999999997E-2</v>
      </c>
      <c r="AA340" s="49">
        <f>ROUND((Q340*U340*F340*O340/1000000),4)</f>
        <v>3.3799999999999997E-2</v>
      </c>
      <c r="AB340" s="49">
        <f>ROUND((R340*V340*F340*O340/1000000),4)</f>
        <v>0</v>
      </c>
      <c r="AC340" s="50" t="s">
        <v>200</v>
      </c>
      <c r="AD340" s="51" t="s">
        <v>153</v>
      </c>
      <c r="AE340" s="44">
        <f>ROUND((((X340*E340)/1800)*0.8),4)</f>
        <v>8.1000000000000003E-2</v>
      </c>
      <c r="AF340" s="44">
        <f>ROUND(((Z340+AA340+AB340)*0.8),4)</f>
        <v>5.4100000000000002E-2</v>
      </c>
      <c r="AG340" s="88"/>
      <c r="AH340" s="88"/>
    </row>
    <row r="341" spans="1:34" ht="12.95" customHeight="1" x14ac:dyDescent="0.25">
      <c r="A341" s="89"/>
      <c r="B341" s="53" t="s">
        <v>237</v>
      </c>
      <c r="C341" s="52"/>
      <c r="D341" s="52"/>
      <c r="E341" s="52"/>
      <c r="F341" s="63"/>
      <c r="G341" s="52"/>
      <c r="H341" s="52"/>
      <c r="I341" s="52"/>
      <c r="J341" s="52"/>
      <c r="K341" s="52"/>
      <c r="L341" s="56"/>
      <c r="M341" s="56"/>
      <c r="N341" s="52"/>
      <c r="O341" s="52"/>
      <c r="P341" s="52"/>
      <c r="Q341" s="52"/>
      <c r="R341" s="52"/>
      <c r="S341" s="57"/>
      <c r="T341" s="54"/>
      <c r="U341" s="54"/>
      <c r="V341" s="54"/>
      <c r="W341" s="54"/>
      <c r="X341" s="54"/>
      <c r="Y341" s="54"/>
      <c r="Z341" s="54"/>
      <c r="AA341" s="54"/>
      <c r="AB341" s="54"/>
      <c r="AC341" s="50" t="s">
        <v>201</v>
      </c>
      <c r="AD341" s="51" t="s">
        <v>202</v>
      </c>
      <c r="AE341" s="44">
        <f>ROUND((((X340*E340)/1800)*0.13),4)</f>
        <v>1.32E-2</v>
      </c>
      <c r="AF341" s="44">
        <f>ROUND(((Z340+AA340+AB340)*0.13),4)</f>
        <v>8.8000000000000005E-3</v>
      </c>
      <c r="AG341" s="88"/>
      <c r="AH341" s="88"/>
    </row>
    <row r="342" spans="1:34" ht="12.95" customHeight="1" x14ac:dyDescent="0.25">
      <c r="A342" s="89"/>
      <c r="B342" s="67"/>
      <c r="C342" s="55"/>
      <c r="D342" s="55"/>
      <c r="E342" s="52"/>
      <c r="F342" s="63"/>
      <c r="G342" s="52"/>
      <c r="H342" s="52"/>
      <c r="I342" s="52"/>
      <c r="J342" s="52"/>
      <c r="K342" s="52"/>
      <c r="L342" s="59">
        <v>0.51</v>
      </c>
      <c r="M342" s="59">
        <v>0.63</v>
      </c>
      <c r="N342" s="52"/>
      <c r="O342" s="52"/>
      <c r="P342" s="52"/>
      <c r="Q342" s="52"/>
      <c r="R342" s="52"/>
      <c r="S342" s="60">
        <v>0.25</v>
      </c>
      <c r="T342" s="48">
        <f>ROUND((L342*I340+1.3*L342*K340+S342*H340),4)</f>
        <v>186.74250000000001</v>
      </c>
      <c r="U342" s="48">
        <f>ROUND((M342*0.9*I340+1.3*M342*0.9*K340+S342*H340),4)</f>
        <v>205.93729999999999</v>
      </c>
      <c r="V342" s="48">
        <f>ROUND((M342*I340+1.3*M342*K340+S342*H340),4)</f>
        <v>227.1525</v>
      </c>
      <c r="W342" s="48">
        <f>ROUND((L342*J340+1.3*L342*N340+S342*G340),4)</f>
        <v>15.27</v>
      </c>
      <c r="X342" s="48">
        <f>ROUND((M342*0.9*J340+1.3*M342*0.9*N340+S342*G340),4)</f>
        <v>16.809000000000001</v>
      </c>
      <c r="Y342" s="48">
        <f>ROUND((M342*J340+1.3*M342*N340+S342*G340),4)</f>
        <v>18.510000000000002</v>
      </c>
      <c r="Z342" s="49">
        <f>ROUND((P340*T342*F340*O340/1000000),4)</f>
        <v>2.8E-3</v>
      </c>
      <c r="AA342" s="49">
        <f>ROUND((Q340*U342*F340*O340/1000000),4)</f>
        <v>3.0999999999999999E-3</v>
      </c>
      <c r="AB342" s="49">
        <f>ROUND((R340*V342*F340*O340/1000000),4)</f>
        <v>0</v>
      </c>
      <c r="AC342" s="50" t="s">
        <v>203</v>
      </c>
      <c r="AD342" s="51" t="s">
        <v>204</v>
      </c>
      <c r="AE342" s="44">
        <f>ROUND((((X342*E340)/1800)),4)</f>
        <v>9.2999999999999992E-3</v>
      </c>
      <c r="AF342" s="44">
        <f>ROUND(((Z342+AA342+AB342)),5)</f>
        <v>5.8999999999999999E-3</v>
      </c>
      <c r="AG342" s="88"/>
      <c r="AH342" s="88"/>
    </row>
    <row r="343" spans="1:34" ht="12.95" customHeight="1" x14ac:dyDescent="0.25">
      <c r="A343" s="89"/>
      <c r="B343" s="53"/>
      <c r="C343" s="52"/>
      <c r="D343" s="52"/>
      <c r="E343" s="52"/>
      <c r="F343" s="63"/>
      <c r="G343" s="52"/>
      <c r="H343" s="52"/>
      <c r="I343" s="52"/>
      <c r="J343" s="52"/>
      <c r="K343" s="52"/>
      <c r="L343" s="59">
        <v>1.1399999999999999</v>
      </c>
      <c r="M343" s="59">
        <v>1.37</v>
      </c>
      <c r="N343" s="52"/>
      <c r="O343" s="52"/>
      <c r="P343" s="52"/>
      <c r="Q343" s="52"/>
      <c r="R343" s="52"/>
      <c r="S343" s="61">
        <v>0.79</v>
      </c>
      <c r="T343" s="48">
        <f>ROUND((L343*I340+1.3*L343*K340+S343*H340),4)</f>
        <v>431.29500000000002</v>
      </c>
      <c r="U343" s="48">
        <f>ROUND((M343*0.9*I340+1.3*M343*0.9*K340+S343*H340),4)</f>
        <v>462.61279999999999</v>
      </c>
      <c r="V343" s="48">
        <f>ROUND((M343*I340+1.3*M343*K340+S343*H340),4)</f>
        <v>508.7475</v>
      </c>
      <c r="W343" s="48">
        <f>ROUND((L343*J340+1.3*L343*N340+S343*G340),4)</f>
        <v>35.520000000000003</v>
      </c>
      <c r="X343" s="48">
        <f>ROUND((M343*0.9*J340+1.3*M343*0.9*N340+S343*G340),4)</f>
        <v>38.030999999999999</v>
      </c>
      <c r="Y343" s="48">
        <f>ROUND((M343*J340+1.3*N340+S343*G340),4)</f>
        <v>36.92</v>
      </c>
      <c r="Z343" s="49">
        <f>ROUND((P340*T343*F340*O340/1000000),4)</f>
        <v>6.4999999999999997E-3</v>
      </c>
      <c r="AA343" s="49">
        <f>ROUND((Q340*U343*F340*O340/1000000),4)</f>
        <v>6.8999999999999999E-3</v>
      </c>
      <c r="AB343" s="49">
        <f>ROUND((R340*V343*F340*O340/1000000),4)</f>
        <v>0</v>
      </c>
      <c r="AC343" s="50" t="s">
        <v>205</v>
      </c>
      <c r="AD343" s="51" t="s">
        <v>206</v>
      </c>
      <c r="AE343" s="44">
        <f>ROUND((((X343*E340)/1800)),4)</f>
        <v>2.1100000000000001E-2</v>
      </c>
      <c r="AF343" s="44">
        <f>ROUND(((Z343+AA343+AB343)),4)</f>
        <v>1.34E-2</v>
      </c>
      <c r="AG343" s="88"/>
      <c r="AH343" s="88"/>
    </row>
    <row r="344" spans="1:34" ht="12.95" customHeight="1" x14ac:dyDescent="0.25">
      <c r="A344" s="89"/>
      <c r="B344" s="53"/>
      <c r="C344" s="52"/>
      <c r="D344" s="52"/>
      <c r="E344" s="52"/>
      <c r="F344" s="63"/>
      <c r="G344" s="52"/>
      <c r="H344" s="52"/>
      <c r="I344" s="52"/>
      <c r="J344" s="52"/>
      <c r="K344" s="52"/>
      <c r="L344" s="59">
        <v>0.72</v>
      </c>
      <c r="M344" s="59">
        <v>1.08</v>
      </c>
      <c r="N344" s="52"/>
      <c r="O344" s="52"/>
      <c r="P344" s="52"/>
      <c r="Q344" s="52"/>
      <c r="R344" s="52"/>
      <c r="S344" s="61">
        <v>0.17</v>
      </c>
      <c r="T344" s="48">
        <f>ROUND((L344*I340+1.3*L344*K340+S344*H340),4)</f>
        <v>252.66</v>
      </c>
      <c r="U344" s="48">
        <f>ROUND((M344*0.9*I340+1.3*M344*0.9*K340+S344*H340),4)</f>
        <v>337.52100000000002</v>
      </c>
      <c r="V344" s="48">
        <f>ROUND((M344*I340+1.3*M344*K340+S344*H340),4)</f>
        <v>373.89</v>
      </c>
      <c r="W344" s="48">
        <f>ROUND((L344*J340+1.3*L344*N340+S344*G340),4)</f>
        <v>20.46</v>
      </c>
      <c r="X344" s="48">
        <f>ROUND((M344*0.9*J340+1.3*M344*0.9*N340+S344*G340),4)</f>
        <v>27.263999999999999</v>
      </c>
      <c r="Y344" s="48">
        <f>ROUND((M344*J340+1.3*M344*N340+S344*G340),4)</f>
        <v>30.18</v>
      </c>
      <c r="Z344" s="49">
        <f>ROUND((P340*T344*F340*O340/1000000),4)</f>
        <v>3.8E-3</v>
      </c>
      <c r="AA344" s="49">
        <f>ROUND((Q340*U344*F340*O340/1000000),4)</f>
        <v>5.1000000000000004E-3</v>
      </c>
      <c r="AB344" s="49">
        <f>ROUND((R340*V344*F340*O340/1000000),4)</f>
        <v>0</v>
      </c>
      <c r="AC344" s="50" t="s">
        <v>250</v>
      </c>
      <c r="AD344" s="51" t="s">
        <v>208</v>
      </c>
      <c r="AE344" s="44">
        <f>ROUND((((X344*E340)/1800)),4)</f>
        <v>1.5100000000000001E-2</v>
      </c>
      <c r="AF344" s="44">
        <f>ROUND(((Z344+AA344+AB344)),4)</f>
        <v>8.8999999999999999E-3</v>
      </c>
      <c r="AG344" s="88"/>
      <c r="AH344" s="88"/>
    </row>
    <row r="345" spans="1:34" ht="12.95" customHeight="1" x14ac:dyDescent="0.25">
      <c r="A345" s="89"/>
      <c r="B345" s="62"/>
      <c r="C345" s="56"/>
      <c r="D345" s="56"/>
      <c r="E345" s="56"/>
      <c r="F345" s="66"/>
      <c r="G345" s="56"/>
      <c r="H345" s="56"/>
      <c r="I345" s="56"/>
      <c r="J345" s="56"/>
      <c r="K345" s="56"/>
      <c r="L345" s="59">
        <v>3.37</v>
      </c>
      <c r="M345" s="59">
        <v>4.1100000000000003</v>
      </c>
      <c r="N345" s="56"/>
      <c r="O345" s="56"/>
      <c r="P345" s="56"/>
      <c r="Q345" s="56"/>
      <c r="R345" s="56"/>
      <c r="S345" s="61">
        <v>6.31</v>
      </c>
      <c r="T345" s="48">
        <f>ROUND((L345*I340+1.3*L345*K340+S345*H340),4)</f>
        <v>1513.4475</v>
      </c>
      <c r="U345" s="48">
        <f>ROUND((M345*0.9*I340+1.3*M345*0.9*K340+S345*H340),4)</f>
        <v>1624.2383</v>
      </c>
      <c r="V345" s="48">
        <f>ROUND((M345*I340+1.3*M345*K340+S345*H340),4)</f>
        <v>1762.6424999999999</v>
      </c>
      <c r="W345" s="48">
        <f>ROUND((L345*J340+1.3*L345*N340+S345*G340),4)</f>
        <v>128.85</v>
      </c>
      <c r="X345" s="48">
        <f>ROUND((M345*0.9*J340+1.3*M345*0.9*N340+S345*G340),4)</f>
        <v>137.733</v>
      </c>
      <c r="Y345" s="48">
        <f>ROUND((M345*J340+1.3*M345*N340+S345*G340),4)</f>
        <v>148.83000000000001</v>
      </c>
      <c r="Z345" s="49">
        <f>ROUND((P340*T345*F340*O340/1000000),4)</f>
        <v>2.2700000000000001E-2</v>
      </c>
      <c r="AA345" s="49">
        <f>ROUND((Q340*U345*F340*O340/1000000),4)</f>
        <v>2.4400000000000002E-2</v>
      </c>
      <c r="AB345" s="49">
        <f>ROUND((R340*V345*F340*O340/1000000),4)</f>
        <v>0</v>
      </c>
      <c r="AC345" s="50" t="s">
        <v>170</v>
      </c>
      <c r="AD345" s="51" t="s">
        <v>162</v>
      </c>
      <c r="AE345" s="44">
        <f>ROUND((((X345*E340)/1800)),4)</f>
        <v>7.6499999999999999E-2</v>
      </c>
      <c r="AF345" s="44">
        <f>ROUND(((Z345+AA345+AB345)),4)</f>
        <v>4.7100000000000003E-2</v>
      </c>
      <c r="AG345" s="88"/>
      <c r="AH345" s="88"/>
    </row>
    <row r="346" spans="1:34" ht="12.95" customHeight="1" x14ac:dyDescent="0.25">
      <c r="A346" s="52"/>
      <c r="B346" s="46" t="s">
        <v>238</v>
      </c>
      <c r="C346" s="46">
        <v>5</v>
      </c>
      <c r="D346" s="45" t="s">
        <v>209</v>
      </c>
      <c r="E346" s="45">
        <v>1</v>
      </c>
      <c r="F346" s="45">
        <v>1</v>
      </c>
      <c r="G346" s="45">
        <v>6</v>
      </c>
      <c r="H346" s="45">
        <v>60</v>
      </c>
      <c r="I346" s="45">
        <f>(8-1-0.75*2)*60*F346-K346-8*0.12*60</f>
        <v>57.900000000000006</v>
      </c>
      <c r="J346" s="45">
        <v>14</v>
      </c>
      <c r="K346" s="45">
        <f>(8-1-0.75*2)*0.65*60*F346</f>
        <v>214.5</v>
      </c>
      <c r="L346" s="48">
        <v>4.01</v>
      </c>
      <c r="M346" s="48">
        <v>4.01</v>
      </c>
      <c r="N346" s="45">
        <v>10</v>
      </c>
      <c r="O346" s="45">
        <f>E346/F346</f>
        <v>1</v>
      </c>
      <c r="P346" s="45">
        <v>15</v>
      </c>
      <c r="Q346" s="45">
        <v>15</v>
      </c>
      <c r="R346" s="47">
        <v>0</v>
      </c>
      <c r="S346" s="47">
        <v>0.78</v>
      </c>
      <c r="T346" s="48">
        <f>ROUND((L346*I346+1.3*L346*K346+S346*H346),4)</f>
        <v>1397.1675</v>
      </c>
      <c r="U346" s="48">
        <f>ROUND((M346*I346+1.3*M346*K346+S346*H346),4)</f>
        <v>1397.1675</v>
      </c>
      <c r="V346" s="48">
        <f>ROUND((M346*I346+1.3*M346*K346+S346*H346),4)</f>
        <v>1397.1675</v>
      </c>
      <c r="W346" s="48">
        <f>ROUND((L346*J346+1.3*L346*N346+S346*G346),4)</f>
        <v>112.95</v>
      </c>
      <c r="X346" s="48">
        <f>ROUND((M346*J346+1.3*M346*N346+S346*G346),4)</f>
        <v>112.95</v>
      </c>
      <c r="Y346" s="48">
        <f>ROUND((M346*J346+1.3*M346*N346+S346*G346),4)</f>
        <v>112.95</v>
      </c>
      <c r="Z346" s="49">
        <f>ROUND((P346*T346*F346*O346/1000000),4)</f>
        <v>2.1000000000000001E-2</v>
      </c>
      <c r="AA346" s="49">
        <f>ROUND((Q346*U346*F346*O346/1000000),4)</f>
        <v>2.1000000000000001E-2</v>
      </c>
      <c r="AB346" s="49">
        <f>ROUND((R346*V346*F346*O346/1000000),4)</f>
        <v>0</v>
      </c>
      <c r="AC346" s="50" t="s">
        <v>200</v>
      </c>
      <c r="AD346" s="51" t="s">
        <v>153</v>
      </c>
      <c r="AE346" s="44">
        <f>ROUND((((X346*E346)/1800)*0.8),4)</f>
        <v>5.0200000000000002E-2</v>
      </c>
      <c r="AF346" s="44">
        <f>ROUND(((Z346+AA346+AB346)*0.8),4)</f>
        <v>3.3599999999999998E-2</v>
      </c>
      <c r="AG346" s="88"/>
      <c r="AH346" s="88"/>
    </row>
    <row r="347" spans="1:34" ht="12.95" customHeight="1" x14ac:dyDescent="0.25">
      <c r="A347" s="52"/>
      <c r="B347" s="73" t="s">
        <v>239</v>
      </c>
      <c r="C347" s="53"/>
      <c r="D347" s="52"/>
      <c r="E347" s="52"/>
      <c r="F347" s="52"/>
      <c r="G347" s="52"/>
      <c r="H347" s="52"/>
      <c r="I347" s="52"/>
      <c r="J347" s="52"/>
      <c r="K347" s="52"/>
      <c r="L347" s="56"/>
      <c r="M347" s="56"/>
      <c r="N347" s="52"/>
      <c r="O347" s="52"/>
      <c r="P347" s="52"/>
      <c r="Q347" s="52"/>
      <c r="R347" s="52"/>
      <c r="S347" s="57"/>
      <c r="T347" s="54"/>
      <c r="U347" s="54"/>
      <c r="V347" s="54"/>
      <c r="W347" s="54"/>
      <c r="X347" s="54"/>
      <c r="Y347" s="54"/>
      <c r="Z347" s="54"/>
      <c r="AA347" s="54"/>
      <c r="AB347" s="54"/>
      <c r="AC347" s="50" t="s">
        <v>201</v>
      </c>
      <c r="AD347" s="51" t="s">
        <v>202</v>
      </c>
      <c r="AE347" s="44">
        <f>ROUND((((X346*E346)/1800)*0.13),4)</f>
        <v>8.2000000000000007E-3</v>
      </c>
      <c r="AF347" s="44">
        <f>ROUND(((Z346+AA346+AB346)*0.13),4)</f>
        <v>5.4999999999999997E-3</v>
      </c>
      <c r="AG347" s="88"/>
      <c r="AH347" s="88"/>
    </row>
    <row r="348" spans="1:34" ht="12.95" customHeight="1" x14ac:dyDescent="0.25">
      <c r="A348" s="52"/>
      <c r="B348" s="53"/>
      <c r="C348" s="58"/>
      <c r="D348" s="55"/>
      <c r="E348" s="52"/>
      <c r="F348" s="52"/>
      <c r="G348" s="52"/>
      <c r="H348" s="52"/>
      <c r="I348" s="52"/>
      <c r="J348" s="52"/>
      <c r="K348" s="52"/>
      <c r="L348" s="59">
        <v>0.31</v>
      </c>
      <c r="M348" s="59">
        <v>0.38</v>
      </c>
      <c r="N348" s="52"/>
      <c r="O348" s="52"/>
      <c r="P348" s="52"/>
      <c r="Q348" s="52"/>
      <c r="R348" s="52"/>
      <c r="S348" s="60">
        <v>0.16</v>
      </c>
      <c r="T348" s="48">
        <f>ROUND((L348*I346+1.3*L348*K346+S348*H346),4)</f>
        <v>113.99250000000001</v>
      </c>
      <c r="U348" s="48">
        <f>ROUND((M348*0.9*I346+1.3*M348*0.9*K346+S348*H346),4)</f>
        <v>124.7685</v>
      </c>
      <c r="V348" s="48">
        <f>ROUND((M348*I346+1.3*M348*K346+S348*H346),4)</f>
        <v>137.565</v>
      </c>
      <c r="W348" s="48">
        <f>ROUND((L348*J346+1.3*L348*N346+S348*G346),4)</f>
        <v>9.33</v>
      </c>
      <c r="X348" s="48">
        <f>ROUND((M348*0.9*J346+1.3*M348*0.9*N346+S348*G346),4)</f>
        <v>10.194000000000001</v>
      </c>
      <c r="Y348" s="48">
        <f>ROUND((M348*J346+1.3*M348*N346+S348*G346),4)</f>
        <v>11.22</v>
      </c>
      <c r="Z348" s="49">
        <f>ROUND((P346*T348*F346*O346/1000000),4)</f>
        <v>1.6999999999999999E-3</v>
      </c>
      <c r="AA348" s="49">
        <f>ROUND((Q346*U348*F346*O346/1000000),4)</f>
        <v>1.9E-3</v>
      </c>
      <c r="AB348" s="49">
        <f>ROUND((R346*V348*F346*O346/1000000),4)</f>
        <v>0</v>
      </c>
      <c r="AC348" s="50" t="s">
        <v>203</v>
      </c>
      <c r="AD348" s="51" t="s">
        <v>204</v>
      </c>
      <c r="AE348" s="44">
        <f>ROUND((((X348*E346)/1800)),4)</f>
        <v>5.7000000000000002E-3</v>
      </c>
      <c r="AF348" s="44">
        <f>ROUND(((Z348+AA348+AB348)),5)</f>
        <v>3.5999999999999999E-3</v>
      </c>
      <c r="AG348" s="88"/>
      <c r="AH348" s="88"/>
    </row>
    <row r="349" spans="1:34" ht="12.95" customHeight="1" x14ac:dyDescent="0.25">
      <c r="A349" s="52"/>
      <c r="B349" s="53"/>
      <c r="C349" s="53"/>
      <c r="D349" s="52"/>
      <c r="E349" s="52"/>
      <c r="F349" s="52"/>
      <c r="G349" s="52"/>
      <c r="H349" s="52"/>
      <c r="I349" s="52"/>
      <c r="J349" s="52"/>
      <c r="K349" s="52"/>
      <c r="L349" s="59">
        <v>0.71</v>
      </c>
      <c r="M349" s="59">
        <v>0.85</v>
      </c>
      <c r="N349" s="52"/>
      <c r="O349" s="52"/>
      <c r="P349" s="52"/>
      <c r="Q349" s="52"/>
      <c r="R349" s="52"/>
      <c r="S349" s="61">
        <v>0.49</v>
      </c>
      <c r="T349" s="48">
        <f>ROUND((L349*I346+1.3*L349*K346+S349*H346),4)</f>
        <v>268.49250000000001</v>
      </c>
      <c r="U349" s="48">
        <f>ROUND((M349*0.9*I346+1.3*M349*0.9*K346+S349*H346),4)</f>
        <v>287.0138</v>
      </c>
      <c r="V349" s="48">
        <f>ROUND((M349*I346+1.3*M349*K346+S349*H346),4)</f>
        <v>315.63749999999999</v>
      </c>
      <c r="W349" s="48">
        <f>ROUND((L349*J346+1.3*L349*N346+S349*G346),4)</f>
        <v>22.11</v>
      </c>
      <c r="X349" s="48">
        <f>ROUND((M349*0.9*J346+1.3*M349*0.9*N346+S349*G346),4)</f>
        <v>23.594999999999999</v>
      </c>
      <c r="Y349" s="48">
        <f>ROUND((M349*J346+1.3*N346+S349*G346),4)</f>
        <v>27.84</v>
      </c>
      <c r="Z349" s="49">
        <f>ROUND((P346*T349*F346*O346/1000000),4)</f>
        <v>4.0000000000000001E-3</v>
      </c>
      <c r="AA349" s="49">
        <f>ROUND((Q346*U349*F346*O346/1000000),4)</f>
        <v>4.3E-3</v>
      </c>
      <c r="AB349" s="49">
        <f>ROUND((R346*V349*F346*O346/1000000),4)</f>
        <v>0</v>
      </c>
      <c r="AC349" s="50" t="s">
        <v>205</v>
      </c>
      <c r="AD349" s="51" t="s">
        <v>206</v>
      </c>
      <c r="AE349" s="44">
        <f>ROUND((((X349*E346)/1800)),4)</f>
        <v>1.3100000000000001E-2</v>
      </c>
      <c r="AF349" s="44">
        <f>ROUND(((Z349+AA349+AB349)),4)</f>
        <v>8.3000000000000001E-3</v>
      </c>
      <c r="AG349" s="88"/>
      <c r="AH349" s="88"/>
    </row>
    <row r="350" spans="1:34" ht="12.95" customHeight="1" x14ac:dyDescent="0.25">
      <c r="A350" s="52"/>
      <c r="B350" s="53"/>
      <c r="C350" s="53"/>
      <c r="D350" s="52"/>
      <c r="E350" s="52"/>
      <c r="F350" s="52"/>
      <c r="G350" s="52"/>
      <c r="H350" s="52"/>
      <c r="I350" s="52"/>
      <c r="J350" s="52"/>
      <c r="K350" s="52"/>
      <c r="L350" s="59">
        <v>0.45</v>
      </c>
      <c r="M350" s="59">
        <v>0.67</v>
      </c>
      <c r="N350" s="52"/>
      <c r="O350" s="52"/>
      <c r="P350" s="52"/>
      <c r="Q350" s="52"/>
      <c r="R350" s="52"/>
      <c r="S350" s="61">
        <v>0.1</v>
      </c>
      <c r="T350" s="48">
        <f>ROUND((L350*I346+1.3*L350*K346+S350*H346),4)</f>
        <v>157.53749999999999</v>
      </c>
      <c r="U350" s="48">
        <f>ROUND((M350*0.9*I346+1.3*M350*0.9*K346+S350*H346),4)</f>
        <v>209.06030000000001</v>
      </c>
      <c r="V350" s="48">
        <f>ROUND((M350*I346+1.3*M350*K346+S350*H346),4)</f>
        <v>231.6225</v>
      </c>
      <c r="W350" s="48">
        <f>ROUND((L350*J346+1.3*L350*N346+S350*G346),4)</f>
        <v>12.75</v>
      </c>
      <c r="X350" s="48">
        <f>ROUND((M350*0.9*J346+1.3*M350*0.9*N346+S350*G346),4)</f>
        <v>16.881</v>
      </c>
      <c r="Y350" s="48">
        <f>ROUND((M350*J346+1.3*M350*N346+S350*G346),4)</f>
        <v>18.690000000000001</v>
      </c>
      <c r="Z350" s="49">
        <f>ROUND((P346*T350*F346*O346/1000000),4)</f>
        <v>2.3999999999999998E-3</v>
      </c>
      <c r="AA350" s="49">
        <f>ROUND((Q346*U350*F346*O346/1000000),4)</f>
        <v>3.0999999999999999E-3</v>
      </c>
      <c r="AB350" s="49">
        <f>ROUND((R346*V350*F346*O346/1000000),4)</f>
        <v>0</v>
      </c>
      <c r="AC350" s="50" t="s">
        <v>250</v>
      </c>
      <c r="AD350" s="51" t="s">
        <v>208</v>
      </c>
      <c r="AE350" s="44">
        <f>ROUND((((X350*E346)/1800)),4)</f>
        <v>9.4000000000000004E-3</v>
      </c>
      <c r="AF350" s="44">
        <f>ROUND(((Z350+AA350+AB350)),4)</f>
        <v>5.4999999999999997E-3</v>
      </c>
      <c r="AG350" s="88"/>
      <c r="AH350" s="88"/>
    </row>
    <row r="351" spans="1:34" ht="12.95" customHeight="1" x14ac:dyDescent="0.25">
      <c r="A351" s="52"/>
      <c r="B351" s="62"/>
      <c r="C351" s="62"/>
      <c r="D351" s="56"/>
      <c r="E351" s="56"/>
      <c r="F351" s="56"/>
      <c r="G351" s="56"/>
      <c r="H351" s="56"/>
      <c r="I351" s="56"/>
      <c r="J351" s="56"/>
      <c r="K351" s="56"/>
      <c r="L351" s="59">
        <v>2.09</v>
      </c>
      <c r="M351" s="59">
        <v>2.5499999999999998</v>
      </c>
      <c r="N351" s="56"/>
      <c r="O351" s="56"/>
      <c r="P351" s="56"/>
      <c r="Q351" s="56"/>
      <c r="R351" s="56"/>
      <c r="S351" s="61">
        <v>3.91</v>
      </c>
      <c r="T351" s="48">
        <f>ROUND((L351*I346+1.3*L351*K346+S351*H346),4)</f>
        <v>938.40750000000003</v>
      </c>
      <c r="U351" s="48">
        <f>ROUND((M351*0.9*I346+1.3*M351*0.9*K346+S351*H346),4)</f>
        <v>1007.4413</v>
      </c>
      <c r="V351" s="48">
        <f>ROUND((M351*I346+1.3*M351*K346+S351*H346),4)</f>
        <v>1093.3125</v>
      </c>
      <c r="W351" s="48">
        <f>ROUND((L351*J346+1.3*L351*N346+S351*G346),4)</f>
        <v>79.89</v>
      </c>
      <c r="X351" s="48">
        <f>ROUND((M351*0.9*J346+1.3*M351*0.9*N346+S351*G346),4)</f>
        <v>85.424999999999997</v>
      </c>
      <c r="Y351" s="48">
        <f>ROUND((M351*J346+1.3*M351*N346+S351*G346),4)</f>
        <v>92.31</v>
      </c>
      <c r="Z351" s="49">
        <f>ROUND((P346*T351*F346*O346/1000000),4)</f>
        <v>1.41E-2</v>
      </c>
      <c r="AA351" s="49">
        <f>ROUND((Q346*U351*F346*O346/1000000),4)</f>
        <v>1.5100000000000001E-2</v>
      </c>
      <c r="AB351" s="49">
        <f>ROUND((R346*V351*F346*O346/1000000),4)</f>
        <v>0</v>
      </c>
      <c r="AC351" s="50" t="s">
        <v>170</v>
      </c>
      <c r="AD351" s="51" t="s">
        <v>162</v>
      </c>
      <c r="AE351" s="44">
        <f>ROUND((((X351*E346)/1800)),4)</f>
        <v>4.7500000000000001E-2</v>
      </c>
      <c r="AF351" s="44">
        <f>ROUND(((Z351+AA351+AB351)),4)</f>
        <v>2.92E-2</v>
      </c>
      <c r="AG351" s="88"/>
      <c r="AH351" s="88"/>
    </row>
    <row r="352" spans="1:34" ht="12.95" customHeight="1" x14ac:dyDescent="0.25">
      <c r="A352" s="89"/>
      <c r="B352" s="46" t="s">
        <v>240</v>
      </c>
      <c r="C352" s="46">
        <v>6</v>
      </c>
      <c r="D352" s="45" t="s">
        <v>210</v>
      </c>
      <c r="E352" s="45">
        <v>1</v>
      </c>
      <c r="F352" s="45">
        <v>1</v>
      </c>
      <c r="G352" s="45">
        <v>6</v>
      </c>
      <c r="H352" s="45">
        <v>60</v>
      </c>
      <c r="I352" s="45">
        <f>(8-1-0.75*2)*60*F352-K352-8*0.12*60</f>
        <v>57.900000000000006</v>
      </c>
      <c r="J352" s="45">
        <v>14</v>
      </c>
      <c r="K352" s="45">
        <f>(8-1-0.75*2)*0.65*60*F352</f>
        <v>214.5</v>
      </c>
      <c r="L352" s="48">
        <v>6.47</v>
      </c>
      <c r="M352" s="48">
        <v>6.47</v>
      </c>
      <c r="N352" s="45">
        <v>10</v>
      </c>
      <c r="O352" s="45">
        <f>E352/F352</f>
        <v>1</v>
      </c>
      <c r="P352" s="45">
        <v>15</v>
      </c>
      <c r="Q352" s="45">
        <v>15</v>
      </c>
      <c r="R352" s="47">
        <v>0</v>
      </c>
      <c r="S352" s="47">
        <v>1.27</v>
      </c>
      <c r="T352" s="48">
        <f>ROUND((L352*I352+1.3*L352*K352+S352*H352),4)</f>
        <v>2254.9724999999999</v>
      </c>
      <c r="U352" s="48">
        <f>ROUND((M352*I352+1.3*M352*K352+S352*H352),4)</f>
        <v>2254.9724999999999</v>
      </c>
      <c r="V352" s="48">
        <f>ROUND((M352*I352+1.3*M352*K352+S352*H352),4)</f>
        <v>2254.9724999999999</v>
      </c>
      <c r="W352" s="48">
        <f>ROUND((L352*J352+1.3*L352*N352+S352*G352),4)</f>
        <v>182.31</v>
      </c>
      <c r="X352" s="48">
        <f>ROUND((M352*J352+1.3*M352*N352+S352*G352),4)</f>
        <v>182.31</v>
      </c>
      <c r="Y352" s="48">
        <f>ROUND((M352*J352+1.3*M352*N352+S352*G352),4)</f>
        <v>182.31</v>
      </c>
      <c r="Z352" s="49">
        <f>ROUND((P352*T352*F352*O352/1000000),4)</f>
        <v>3.3799999999999997E-2</v>
      </c>
      <c r="AA352" s="49">
        <f>ROUND((Q352*U352*F352*O352/1000000),4)</f>
        <v>3.3799999999999997E-2</v>
      </c>
      <c r="AB352" s="49">
        <f>ROUND((R352*V352*F352*O352/1000000),4)</f>
        <v>0</v>
      </c>
      <c r="AC352" s="50" t="s">
        <v>200</v>
      </c>
      <c r="AD352" s="51" t="s">
        <v>153</v>
      </c>
      <c r="AE352" s="44">
        <f>ROUND((((X352*E352)/1800)*0.8),4)</f>
        <v>8.1000000000000003E-2</v>
      </c>
      <c r="AF352" s="44">
        <f>ROUND(((Z352+AA352+AB352)*0.8),4)</f>
        <v>5.4100000000000002E-2</v>
      </c>
      <c r="AG352" s="88"/>
      <c r="AH352" s="88"/>
    </row>
    <row r="353" spans="1:34" ht="12.95" customHeight="1" x14ac:dyDescent="0.25">
      <c r="A353" s="89"/>
      <c r="B353" s="53" t="s">
        <v>241</v>
      </c>
      <c r="C353" s="52"/>
      <c r="D353" s="52"/>
      <c r="E353" s="52"/>
      <c r="F353" s="52"/>
      <c r="G353" s="52"/>
      <c r="H353" s="52"/>
      <c r="I353" s="52"/>
      <c r="J353" s="52"/>
      <c r="K353" s="52"/>
      <c r="L353" s="56"/>
      <c r="M353" s="56"/>
      <c r="N353" s="52"/>
      <c r="O353" s="52"/>
      <c r="P353" s="52"/>
      <c r="Q353" s="52"/>
      <c r="R353" s="52"/>
      <c r="S353" s="57"/>
      <c r="T353" s="54"/>
      <c r="U353" s="54"/>
      <c r="V353" s="54"/>
      <c r="W353" s="54"/>
      <c r="X353" s="54"/>
      <c r="Y353" s="54"/>
      <c r="Z353" s="54"/>
      <c r="AA353" s="54"/>
      <c r="AB353" s="54"/>
      <c r="AC353" s="50" t="s">
        <v>201</v>
      </c>
      <c r="AD353" s="51" t="s">
        <v>202</v>
      </c>
      <c r="AE353" s="44">
        <f>ROUND((((X352*E352)/1800)*0.13),4)</f>
        <v>1.32E-2</v>
      </c>
      <c r="AF353" s="44">
        <f>ROUND(((Z352+AA352+AB352)*0.13),4)</f>
        <v>8.8000000000000005E-3</v>
      </c>
      <c r="AG353" s="88"/>
      <c r="AH353" s="88"/>
    </row>
    <row r="354" spans="1:34" ht="12.95" customHeight="1" x14ac:dyDescent="0.25">
      <c r="A354" s="89"/>
      <c r="B354" s="67"/>
      <c r="C354" s="55"/>
      <c r="D354" s="55"/>
      <c r="E354" s="52"/>
      <c r="F354" s="63"/>
      <c r="G354" s="52"/>
      <c r="H354" s="52"/>
      <c r="I354" s="52"/>
      <c r="J354" s="52"/>
      <c r="K354" s="52"/>
      <c r="L354" s="59">
        <v>0.51</v>
      </c>
      <c r="M354" s="59">
        <v>0.63</v>
      </c>
      <c r="N354" s="52"/>
      <c r="O354" s="52"/>
      <c r="P354" s="52"/>
      <c r="Q354" s="52"/>
      <c r="R354" s="52"/>
      <c r="S354" s="60">
        <v>0.25</v>
      </c>
      <c r="T354" s="48">
        <f>ROUND((L354*I352+1.3*L354*K352+S354*H352),4)</f>
        <v>186.74250000000001</v>
      </c>
      <c r="U354" s="48">
        <f>ROUND((M354*0.9*I352+1.3*M354*0.9*K352+S354*H352),4)</f>
        <v>205.93729999999999</v>
      </c>
      <c r="V354" s="48">
        <f>ROUND((M354*I352+1.3*M354*K352+S354*H352),4)</f>
        <v>227.1525</v>
      </c>
      <c r="W354" s="48">
        <f>ROUND((L354*J352+1.3*L354*N352+S354*G352),4)</f>
        <v>15.27</v>
      </c>
      <c r="X354" s="48">
        <f>ROUND((M354*0.9*J352+1.3*M354*0.9*N352+S354*G352),4)</f>
        <v>16.809000000000001</v>
      </c>
      <c r="Y354" s="48">
        <f>ROUND((M354*J352+1.3*M354*N352+S354*G352),4)</f>
        <v>18.510000000000002</v>
      </c>
      <c r="Z354" s="49">
        <f>ROUND((P352*T354*F352*O352/1000000),4)</f>
        <v>2.8E-3</v>
      </c>
      <c r="AA354" s="49">
        <f>ROUND((Q352*U354*F352*O352/1000000),4)</f>
        <v>3.0999999999999999E-3</v>
      </c>
      <c r="AB354" s="49">
        <f>ROUND((R352*V354*F352*O352/1000000),4)</f>
        <v>0</v>
      </c>
      <c r="AC354" s="50" t="s">
        <v>203</v>
      </c>
      <c r="AD354" s="51" t="s">
        <v>204</v>
      </c>
      <c r="AE354" s="44">
        <f>ROUND((((X354*E352)/1800)),4)</f>
        <v>9.2999999999999992E-3</v>
      </c>
      <c r="AF354" s="44">
        <f>ROUND(((Z354+AA354+AB354)),5)</f>
        <v>5.8999999999999999E-3</v>
      </c>
      <c r="AG354" s="88"/>
      <c r="AH354" s="88"/>
    </row>
    <row r="355" spans="1:34" ht="12.95" customHeight="1" x14ac:dyDescent="0.25">
      <c r="A355" s="89"/>
      <c r="B355" s="53"/>
      <c r="C355" s="52"/>
      <c r="D355" s="52"/>
      <c r="E355" s="52"/>
      <c r="F355" s="63"/>
      <c r="G355" s="52"/>
      <c r="H355" s="52"/>
      <c r="I355" s="52"/>
      <c r="J355" s="52"/>
      <c r="K355" s="52"/>
      <c r="L355" s="59">
        <v>1.1399999999999999</v>
      </c>
      <c r="M355" s="59">
        <v>1.37</v>
      </c>
      <c r="N355" s="52"/>
      <c r="O355" s="52"/>
      <c r="P355" s="52"/>
      <c r="Q355" s="52"/>
      <c r="R355" s="52"/>
      <c r="S355" s="61">
        <v>0.79</v>
      </c>
      <c r="T355" s="48">
        <f>ROUND((L355*I352+1.3*L355*K352+S355*H352),4)</f>
        <v>431.29500000000002</v>
      </c>
      <c r="U355" s="48">
        <f>ROUND((M355*0.9*I352+1.3*M355*0.9*K352+S355*H352),4)</f>
        <v>462.61279999999999</v>
      </c>
      <c r="V355" s="48">
        <f>ROUND((M355*I352+1.3*M355*K352+S355*H352),4)</f>
        <v>508.7475</v>
      </c>
      <c r="W355" s="48">
        <f>ROUND((L355*J352+1.3*L355*N352+S355*G352),4)</f>
        <v>35.520000000000003</v>
      </c>
      <c r="X355" s="48">
        <f>ROUND((M355*0.9*J352+1.3*M355*0.9*N352+S355*G352),4)</f>
        <v>38.030999999999999</v>
      </c>
      <c r="Y355" s="48">
        <f>ROUND((M355*J352+1.3*N352+S355*G352),4)</f>
        <v>36.92</v>
      </c>
      <c r="Z355" s="49">
        <f>ROUND((P352*T355*F352*O352/1000000),4)</f>
        <v>6.4999999999999997E-3</v>
      </c>
      <c r="AA355" s="49">
        <f>ROUND((Q352*U355*F352*O352/1000000),4)</f>
        <v>6.8999999999999999E-3</v>
      </c>
      <c r="AB355" s="49">
        <f>ROUND((R352*V355*F352*O352/1000000),4)</f>
        <v>0</v>
      </c>
      <c r="AC355" s="50" t="s">
        <v>205</v>
      </c>
      <c r="AD355" s="51" t="s">
        <v>206</v>
      </c>
      <c r="AE355" s="44">
        <f>ROUND((((X355*E352)/1800)),4)</f>
        <v>2.1100000000000001E-2</v>
      </c>
      <c r="AF355" s="44">
        <f>ROUND(((Z355+AA355+AB355)),4)</f>
        <v>1.34E-2</v>
      </c>
      <c r="AG355" s="88"/>
      <c r="AH355" s="88"/>
    </row>
    <row r="356" spans="1:34" ht="12.95" customHeight="1" x14ac:dyDescent="0.25">
      <c r="A356" s="89"/>
      <c r="B356" s="53"/>
      <c r="C356" s="52"/>
      <c r="D356" s="52"/>
      <c r="E356" s="52"/>
      <c r="F356" s="63"/>
      <c r="G356" s="52"/>
      <c r="H356" s="52"/>
      <c r="I356" s="52"/>
      <c r="J356" s="52"/>
      <c r="K356" s="52"/>
      <c r="L356" s="59">
        <v>0.72</v>
      </c>
      <c r="M356" s="59">
        <v>1.08</v>
      </c>
      <c r="N356" s="52"/>
      <c r="O356" s="52"/>
      <c r="P356" s="52"/>
      <c r="Q356" s="52"/>
      <c r="R356" s="52"/>
      <c r="S356" s="61">
        <v>0.17</v>
      </c>
      <c r="T356" s="48">
        <f>ROUND((L356*I352+1.3*L356*K352+S356*H352),4)</f>
        <v>252.66</v>
      </c>
      <c r="U356" s="48">
        <f>ROUND((M356*0.9*I352+1.3*M356*0.9*K352+S356*H352),4)</f>
        <v>337.52100000000002</v>
      </c>
      <c r="V356" s="48">
        <f>ROUND((M356*I352+1.3*M356*K352+S356*H352),4)</f>
        <v>373.89</v>
      </c>
      <c r="W356" s="48">
        <f>ROUND((L356*J352+1.3*L356*N352+S356*G352),4)</f>
        <v>20.46</v>
      </c>
      <c r="X356" s="48">
        <f>ROUND((M356*0.9*J352+1.3*M356*0.9*N352+S356*G352),4)</f>
        <v>27.263999999999999</v>
      </c>
      <c r="Y356" s="48">
        <f>ROUND((M356*J352+1.3*M356*N352+S356*G352),4)</f>
        <v>30.18</v>
      </c>
      <c r="Z356" s="49">
        <f>ROUND((P352*T356*F352*O352/1000000),4)</f>
        <v>3.8E-3</v>
      </c>
      <c r="AA356" s="49">
        <f>ROUND((Q352*U356*F352*O352/1000000),4)</f>
        <v>5.1000000000000004E-3</v>
      </c>
      <c r="AB356" s="49">
        <f>ROUND((R352*V356*F352*O352/1000000),4)</f>
        <v>0</v>
      </c>
      <c r="AC356" s="50" t="s">
        <v>250</v>
      </c>
      <c r="AD356" s="51" t="s">
        <v>208</v>
      </c>
      <c r="AE356" s="44">
        <f>ROUND((((X356*E352)/1800)),4)</f>
        <v>1.5100000000000001E-2</v>
      </c>
      <c r="AF356" s="44">
        <f>ROUND(((Z356+AA356+AB356)),4)</f>
        <v>8.8999999999999999E-3</v>
      </c>
      <c r="AG356" s="88"/>
      <c r="AH356" s="88"/>
    </row>
    <row r="357" spans="1:34" ht="12.95" customHeight="1" x14ac:dyDescent="0.25">
      <c r="A357" s="89"/>
      <c r="B357" s="62"/>
      <c r="C357" s="56"/>
      <c r="D357" s="56"/>
      <c r="E357" s="56"/>
      <c r="F357" s="66"/>
      <c r="G357" s="56"/>
      <c r="H357" s="56"/>
      <c r="I357" s="56"/>
      <c r="J357" s="56"/>
      <c r="K357" s="56"/>
      <c r="L357" s="59">
        <v>3.37</v>
      </c>
      <c r="M357" s="59">
        <v>4.1100000000000003</v>
      </c>
      <c r="N357" s="56"/>
      <c r="O357" s="56"/>
      <c r="P357" s="56"/>
      <c r="Q357" s="56"/>
      <c r="R357" s="56"/>
      <c r="S357" s="61">
        <v>6.31</v>
      </c>
      <c r="T357" s="48">
        <f>ROUND((L357*I352+1.3*L357*K352+S357*H352),4)</f>
        <v>1513.4475</v>
      </c>
      <c r="U357" s="48">
        <f>ROUND((M357*0.9*I352+1.3*M357*0.9*K352+S357*H352),4)</f>
        <v>1624.2383</v>
      </c>
      <c r="V357" s="48">
        <f>ROUND((M357*I352+1.3*M357*K352+S357*H352),4)</f>
        <v>1762.6424999999999</v>
      </c>
      <c r="W357" s="48">
        <f>ROUND((L357*J352+1.3*L357*N352+S357*G352),4)</f>
        <v>128.85</v>
      </c>
      <c r="X357" s="48">
        <f>ROUND((M357*0.9*J352+1.3*M357*0.9*N352+S357*G352),4)</f>
        <v>137.733</v>
      </c>
      <c r="Y357" s="48">
        <f>ROUND((M357*J352+1.3*M357*N352+S357*G352),4)</f>
        <v>148.83000000000001</v>
      </c>
      <c r="Z357" s="49">
        <f>ROUND((P352*T357*F352*O352/1000000),4)</f>
        <v>2.2700000000000001E-2</v>
      </c>
      <c r="AA357" s="49">
        <f>ROUND((Q352*U357*F352*O352/1000000),4)</f>
        <v>2.4400000000000002E-2</v>
      </c>
      <c r="AB357" s="49">
        <f>ROUND((R352*V357*F352*O352/1000000),4)</f>
        <v>0</v>
      </c>
      <c r="AC357" s="50" t="s">
        <v>170</v>
      </c>
      <c r="AD357" s="51" t="s">
        <v>162</v>
      </c>
      <c r="AE357" s="44">
        <f>ROUND((((X357*E352)/1800)),4)</f>
        <v>7.6499999999999999E-2</v>
      </c>
      <c r="AF357" s="44">
        <f>ROUND(((Z357+AA357+AB357)),4)</f>
        <v>4.7100000000000003E-2</v>
      </c>
      <c r="AG357" s="88"/>
      <c r="AH357" s="88"/>
    </row>
    <row r="358" spans="1:34" ht="12.95" customHeight="1" x14ac:dyDescent="0.25">
      <c r="A358" s="52"/>
      <c r="B358" s="67" t="s">
        <v>242</v>
      </c>
      <c r="C358" s="46">
        <v>3</v>
      </c>
      <c r="D358" s="45" t="s">
        <v>228</v>
      </c>
      <c r="E358" s="45">
        <v>1</v>
      </c>
      <c r="F358" s="45">
        <v>1</v>
      </c>
      <c r="G358" s="45">
        <v>6</v>
      </c>
      <c r="H358" s="45">
        <v>60</v>
      </c>
      <c r="I358" s="45">
        <f>(8-1-0.75*2)*60*F358-K358-8*0.12*60</f>
        <v>57.900000000000006</v>
      </c>
      <c r="J358" s="45">
        <v>14</v>
      </c>
      <c r="K358" s="45">
        <f>(8-1-0.75*2)*0.65*60*F358</f>
        <v>214.5</v>
      </c>
      <c r="L358" s="48">
        <v>1.49</v>
      </c>
      <c r="M358" s="48">
        <v>1.49</v>
      </c>
      <c r="N358" s="45">
        <v>10</v>
      </c>
      <c r="O358" s="45">
        <f>E358/F358</f>
        <v>1</v>
      </c>
      <c r="P358" s="45">
        <v>120</v>
      </c>
      <c r="Q358" s="45">
        <v>30</v>
      </c>
      <c r="R358" s="47">
        <v>0</v>
      </c>
      <c r="S358" s="47">
        <v>0.28999999999999998</v>
      </c>
      <c r="T358" s="48">
        <f>ROUND((L358*I358+1.3*L358*K358+S358*H358),4)</f>
        <v>519.15750000000003</v>
      </c>
      <c r="U358" s="48">
        <f>ROUND((M358*I358+1.3*M358*K358+S358*H358),4)</f>
        <v>519.15750000000003</v>
      </c>
      <c r="V358" s="48">
        <f>ROUND((M358*I358+1.3*M358*K358+S358*H358),4)</f>
        <v>519.15750000000003</v>
      </c>
      <c r="W358" s="48">
        <f>ROUND((L358*J358+1.3*L358*N358+S358*G358),4)</f>
        <v>41.97</v>
      </c>
      <c r="X358" s="48">
        <f>ROUND((M358*J358+1.3*M358*N358+S358*G358),4)</f>
        <v>41.97</v>
      </c>
      <c r="Y358" s="48">
        <f>ROUND((M358*J358+1.3*M358*N358+S358*G358),4)</f>
        <v>41.97</v>
      </c>
      <c r="Z358" s="49">
        <f>ROUND((P358*T358*F358*O358/1000000),4)</f>
        <v>6.2300000000000001E-2</v>
      </c>
      <c r="AA358" s="49">
        <f>ROUND((Q358*U358*F358*O358/1000000),4)</f>
        <v>1.5599999999999999E-2</v>
      </c>
      <c r="AB358" s="49">
        <f>ROUND((R358*V358*F358*O358/1000000),4)</f>
        <v>0</v>
      </c>
      <c r="AC358" s="50" t="s">
        <v>200</v>
      </c>
      <c r="AD358" s="51" t="s">
        <v>153</v>
      </c>
      <c r="AE358" s="44">
        <f>ROUND((((X358*E358)/1800)*0.8),4)</f>
        <v>1.8700000000000001E-2</v>
      </c>
      <c r="AF358" s="44">
        <f>ROUND(((Z358+AA358+AB358)*0.8),4)</f>
        <v>6.2300000000000001E-2</v>
      </c>
      <c r="AG358" s="88"/>
      <c r="AH358" s="88"/>
    </row>
    <row r="359" spans="1:34" ht="12.95" customHeight="1" x14ac:dyDescent="0.25">
      <c r="A359" s="52"/>
      <c r="B359" s="53" t="s">
        <v>243</v>
      </c>
      <c r="C359" s="52"/>
      <c r="D359" s="52"/>
      <c r="E359" s="52"/>
      <c r="F359" s="63"/>
      <c r="G359" s="52"/>
      <c r="H359" s="52"/>
      <c r="I359" s="52"/>
      <c r="J359" s="52"/>
      <c r="K359" s="52"/>
      <c r="L359" s="56"/>
      <c r="M359" s="56"/>
      <c r="N359" s="52"/>
      <c r="O359" s="52"/>
      <c r="P359" s="52"/>
      <c r="Q359" s="52"/>
      <c r="R359" s="52"/>
      <c r="S359" s="57"/>
      <c r="T359" s="54"/>
      <c r="U359" s="54"/>
      <c r="V359" s="54"/>
      <c r="W359" s="54"/>
      <c r="X359" s="54"/>
      <c r="Y359" s="54"/>
      <c r="Z359" s="54"/>
      <c r="AA359" s="54"/>
      <c r="AB359" s="54"/>
      <c r="AC359" s="50" t="s">
        <v>201</v>
      </c>
      <c r="AD359" s="51" t="s">
        <v>202</v>
      </c>
      <c r="AE359" s="44">
        <f>ROUND((((X358*E358)/1800)*0.13),4)</f>
        <v>3.0000000000000001E-3</v>
      </c>
      <c r="AF359" s="44">
        <f>ROUND(((Z358+AA358+AB358)*0.13),4)</f>
        <v>1.01E-2</v>
      </c>
      <c r="AG359" s="88"/>
      <c r="AH359" s="88"/>
    </row>
    <row r="360" spans="1:34" ht="12.95" customHeight="1" x14ac:dyDescent="0.25">
      <c r="A360" s="52"/>
      <c r="B360" s="88"/>
      <c r="C360" s="55"/>
      <c r="D360" s="55"/>
      <c r="E360" s="52"/>
      <c r="F360" s="63"/>
      <c r="G360" s="52"/>
      <c r="H360" s="52"/>
      <c r="I360" s="52"/>
      <c r="J360" s="52"/>
      <c r="K360" s="52"/>
      <c r="L360" s="59">
        <v>0.12</v>
      </c>
      <c r="M360" s="59">
        <v>0.15</v>
      </c>
      <c r="N360" s="52"/>
      <c r="O360" s="52"/>
      <c r="P360" s="52"/>
      <c r="Q360" s="52"/>
      <c r="R360" s="52"/>
      <c r="S360" s="60">
        <v>5.8000000000000003E-2</v>
      </c>
      <c r="T360" s="48">
        <f>ROUND((L360*I358+1.3*L360*K358+S360*H358),4)</f>
        <v>43.89</v>
      </c>
      <c r="U360" s="48">
        <f>ROUND((M360*0.9*I358+1.3*M360*0.9*K358+S360*H358),4)</f>
        <v>48.941299999999998</v>
      </c>
      <c r="V360" s="48">
        <f>ROUND((M360*I358+1.3*M360*K358+S360*H358),4)</f>
        <v>53.9925</v>
      </c>
      <c r="W360" s="48">
        <f>ROUND((L360*J358+1.3*L360*N358+S360*G358),4)</f>
        <v>3.5880000000000001</v>
      </c>
      <c r="X360" s="48">
        <f>ROUND((M360*0.9*J358+1.3*M360*0.9*N358+S360*G358),4)</f>
        <v>3.9929999999999999</v>
      </c>
      <c r="Y360" s="48">
        <f>ROUND((M360*J358+1.3*M360*N358+S360*G358),4)</f>
        <v>4.3979999999999997</v>
      </c>
      <c r="Z360" s="49">
        <f>ROUND((P358*T360*F358*O358/1000000),4)</f>
        <v>5.3E-3</v>
      </c>
      <c r="AA360" s="49">
        <f>ROUND((Q358*U360*F358*O358/1000000),4)</f>
        <v>1.5E-3</v>
      </c>
      <c r="AB360" s="49">
        <f>ROUND((R358*V360*F358*O358/1000000),4)</f>
        <v>0</v>
      </c>
      <c r="AC360" s="50" t="s">
        <v>203</v>
      </c>
      <c r="AD360" s="51" t="s">
        <v>204</v>
      </c>
      <c r="AE360" s="44">
        <f>ROUND((((X360*E358)/1800)),4)</f>
        <v>2.2000000000000001E-3</v>
      </c>
      <c r="AF360" s="44">
        <f>ROUND(((Z360+AA360+AB360)),5)</f>
        <v>6.7999999999999996E-3</v>
      </c>
      <c r="AG360" s="88"/>
      <c r="AH360" s="88"/>
    </row>
    <row r="361" spans="1:34" ht="12.95" customHeight="1" x14ac:dyDescent="0.25">
      <c r="A361" s="52"/>
      <c r="B361" s="88"/>
      <c r="C361" s="52"/>
      <c r="D361" s="52"/>
      <c r="E361" s="52"/>
      <c r="F361" s="63"/>
      <c r="G361" s="52"/>
      <c r="H361" s="52"/>
      <c r="I361" s="52"/>
      <c r="J361" s="52"/>
      <c r="K361" s="52"/>
      <c r="L361" s="59">
        <v>0.26</v>
      </c>
      <c r="M361" s="59">
        <v>0.31</v>
      </c>
      <c r="N361" s="52"/>
      <c r="O361" s="52"/>
      <c r="P361" s="52"/>
      <c r="Q361" s="52"/>
      <c r="R361" s="52"/>
      <c r="S361" s="61">
        <v>0.18</v>
      </c>
      <c r="T361" s="48">
        <f>ROUND((L361*I358+1.3*L361*K358+S361*H358),4)</f>
        <v>98.355000000000004</v>
      </c>
      <c r="U361" s="48">
        <f>ROUND((M361*0.9*I358+1.3*M361*0.9*K358+S361*H358),4)</f>
        <v>104.7533</v>
      </c>
      <c r="V361" s="48">
        <f>ROUND((M361*I358+1.3*M361*K358+S361*H358),4)</f>
        <v>115.1925</v>
      </c>
      <c r="W361" s="48">
        <f>ROUND((L361*J358+1.3*L361*N358+S361*G358),4)</f>
        <v>8.1</v>
      </c>
      <c r="X361" s="48">
        <f>ROUND((M361*0.9*J358+1.3*M361*0.9*N358+S361*G358),4)</f>
        <v>8.6129999999999995</v>
      </c>
      <c r="Y361" s="48">
        <f>ROUND((M361*J358+1.3*N358+S361*G358),4)</f>
        <v>18.420000000000002</v>
      </c>
      <c r="Z361" s="49">
        <f>ROUND((P358*T361*F358*O358/1000000),4)</f>
        <v>1.18E-2</v>
      </c>
      <c r="AA361" s="49">
        <f>ROUND((Q358*U361*F358*O358/1000000),4)</f>
        <v>3.0999999999999999E-3</v>
      </c>
      <c r="AB361" s="49">
        <f>ROUND((R358*V361*F358*O358/1000000),4)</f>
        <v>0</v>
      </c>
      <c r="AC361" s="50" t="s">
        <v>205</v>
      </c>
      <c r="AD361" s="51" t="s">
        <v>206</v>
      </c>
      <c r="AE361" s="44">
        <f>ROUND((((X361*E358)/1800)),4)</f>
        <v>4.7999999999999996E-3</v>
      </c>
      <c r="AF361" s="44">
        <f>ROUND(((Z361+AA361+AB361)),4)</f>
        <v>1.49E-2</v>
      </c>
      <c r="AG361" s="88"/>
      <c r="AH361" s="88"/>
    </row>
    <row r="362" spans="1:34" ht="12.95" customHeight="1" x14ac:dyDescent="0.25">
      <c r="A362" s="52"/>
      <c r="B362" s="53"/>
      <c r="C362" s="52"/>
      <c r="D362" s="52"/>
      <c r="E362" s="52"/>
      <c r="F362" s="63"/>
      <c r="G362" s="52"/>
      <c r="H362" s="52"/>
      <c r="I362" s="52"/>
      <c r="J362" s="52"/>
      <c r="K362" s="52"/>
      <c r="L362" s="59">
        <v>0.17</v>
      </c>
      <c r="M362" s="59">
        <v>0.25</v>
      </c>
      <c r="N362" s="52"/>
      <c r="O362" s="52"/>
      <c r="P362" s="52"/>
      <c r="Q362" s="52"/>
      <c r="R362" s="52"/>
      <c r="S362" s="61">
        <v>0.04</v>
      </c>
      <c r="T362" s="48">
        <f>ROUND((L362*I358+1.3*L362*K358+S362*H358),4)</f>
        <v>59.647500000000001</v>
      </c>
      <c r="U362" s="48">
        <f>ROUND((M362*0.9*I358+1.3*M362*0.9*K358+S362*H358),4)</f>
        <v>78.168800000000005</v>
      </c>
      <c r="V362" s="48">
        <f>ROUND((M362*I358+1.3*M362*K358+S362*H358),4)</f>
        <v>86.587500000000006</v>
      </c>
      <c r="W362" s="48">
        <f>ROUND((L362*J358+1.3*L362*N358+S362*G358),4)</f>
        <v>4.83</v>
      </c>
      <c r="X362" s="48">
        <f>ROUND((M362*0.9*J358+1.3*M362*0.9*N358+S362*G358),4)</f>
        <v>6.3150000000000004</v>
      </c>
      <c r="Y362" s="48">
        <f>ROUND((M362*J358+1.3*M362*N358+S362*G358),4)</f>
        <v>6.99</v>
      </c>
      <c r="Z362" s="49">
        <f>ROUND((P358*T362*F358*O358/1000000),4)</f>
        <v>7.1999999999999998E-3</v>
      </c>
      <c r="AA362" s="49">
        <f>ROUND((Q358*U362*F358*O358/1000000),4)</f>
        <v>2.3E-3</v>
      </c>
      <c r="AB362" s="49">
        <f>ROUND((R358*V362*F358*O358/1000000),4)</f>
        <v>0</v>
      </c>
      <c r="AC362" s="50" t="s">
        <v>250</v>
      </c>
      <c r="AD362" s="51" t="s">
        <v>208</v>
      </c>
      <c r="AE362" s="44">
        <f>ROUND((((X362*E358)/1800)),4)</f>
        <v>3.5000000000000001E-3</v>
      </c>
      <c r="AF362" s="44">
        <f>ROUND(((Z362+AA362+AB362)),4)</f>
        <v>9.4999999999999998E-3</v>
      </c>
      <c r="AG362" s="88"/>
      <c r="AH362" s="88"/>
    </row>
    <row r="363" spans="1:34" ht="12.95" customHeight="1" x14ac:dyDescent="0.25">
      <c r="A363" s="56"/>
      <c r="B363" s="62"/>
      <c r="C363" s="56"/>
      <c r="D363" s="56"/>
      <c r="E363" s="56"/>
      <c r="F363" s="66"/>
      <c r="G363" s="56"/>
      <c r="H363" s="56"/>
      <c r="I363" s="56"/>
      <c r="J363" s="56"/>
      <c r="K363" s="56"/>
      <c r="L363" s="59">
        <v>0.77</v>
      </c>
      <c r="M363" s="59">
        <v>0.94</v>
      </c>
      <c r="N363" s="56"/>
      <c r="O363" s="56"/>
      <c r="P363" s="56"/>
      <c r="Q363" s="56"/>
      <c r="R363" s="56"/>
      <c r="S363" s="61">
        <v>1.44</v>
      </c>
      <c r="T363" s="48">
        <f>ROUND((L363*I358+1.3*L363*K358+S363*H358),4)</f>
        <v>345.69749999999999</v>
      </c>
      <c r="U363" s="48">
        <f>ROUND((M363*0.9*I358+1.3*M363*0.9*K358+S363*H358),4)</f>
        <v>371.29050000000001</v>
      </c>
      <c r="V363" s="48">
        <f>ROUND((M363*I358+1.3*M363*K358+S363*H358),4)</f>
        <v>402.94499999999999</v>
      </c>
      <c r="W363" s="48">
        <f>ROUND((L363*J358+1.3*L363*N358+S363*G358),4)</f>
        <v>29.43</v>
      </c>
      <c r="X363" s="48">
        <f>ROUND((M363*0.9*J358+1.3*M363*0.9*N358+S363*G358),4)</f>
        <v>31.481999999999999</v>
      </c>
      <c r="Y363" s="48">
        <f>ROUND((M363*J358+1.3*M363*N358+S363*G358),4)</f>
        <v>34.020000000000003</v>
      </c>
      <c r="Z363" s="49">
        <f>ROUND((P358*T363*F358*O358/1000000),4)</f>
        <v>4.1500000000000002E-2</v>
      </c>
      <c r="AA363" s="49">
        <f>ROUND((Q358*U363*F358*O358/1000000),4)</f>
        <v>1.11E-2</v>
      </c>
      <c r="AB363" s="49">
        <f>ROUND((R358*V363*F358*O358/1000000),4)</f>
        <v>0</v>
      </c>
      <c r="AC363" s="50" t="s">
        <v>170</v>
      </c>
      <c r="AD363" s="51" t="s">
        <v>162</v>
      </c>
      <c r="AE363" s="44">
        <f>ROUND((((X363*E358)/1800)),4)</f>
        <v>1.7500000000000002E-2</v>
      </c>
      <c r="AF363" s="44">
        <f>ROUND(((Z363+AA363+AB363)),4)</f>
        <v>5.2600000000000001E-2</v>
      </c>
      <c r="AG363" s="87"/>
      <c r="AH363" s="87"/>
    </row>
    <row r="364" spans="1:34" s="285" customFormat="1" ht="12.95" customHeight="1" x14ac:dyDescent="0.2">
      <c r="A364" s="1057" t="s">
        <v>553</v>
      </c>
      <c r="B364" s="1058"/>
      <c r="C364" s="1058"/>
      <c r="D364" s="1058"/>
      <c r="E364" s="1058"/>
      <c r="F364" s="1058"/>
      <c r="G364" s="1058"/>
      <c r="H364" s="1058"/>
      <c r="I364" s="1058"/>
      <c r="J364" s="1058"/>
      <c r="K364" s="1058"/>
      <c r="L364" s="1058"/>
      <c r="M364" s="1058"/>
      <c r="N364" s="1058"/>
      <c r="O364" s="1058"/>
      <c r="P364" s="1058"/>
      <c r="Q364" s="1058"/>
      <c r="R364" s="1058"/>
      <c r="S364" s="1059"/>
      <c r="T364" s="280">
        <f>ROUND((L364*I364+1.3*L364*K364+S364*H364),4)</f>
        <v>0</v>
      </c>
      <c r="U364" s="280">
        <f>ROUND((M364*I364+1.3*M364*K364+S364*H364),4)</f>
        <v>0</v>
      </c>
      <c r="V364" s="280">
        <f>ROUND((M364*I364+1.3*M364*K364+S364*H364),4)</f>
        <v>0</v>
      </c>
      <c r="W364" s="280">
        <f>ROUND((L364*J364+1.3*L364*N364+S364*G364),4)</f>
        <v>0</v>
      </c>
      <c r="X364" s="280">
        <f>ROUND((M364*J364+1.3*M364*N364+S364*G364),4)</f>
        <v>0</v>
      </c>
      <c r="Y364" s="280">
        <f>ROUND((M364*J364+1.3*M364*N364+S364*G364),4)</f>
        <v>0</v>
      </c>
      <c r="Z364" s="281">
        <f>ROUND((P364*T364*F364*O364/1000000),4)</f>
        <v>0</v>
      </c>
      <c r="AA364" s="281">
        <f>ROUND((Q364*U364*F364*O364/1000000),4)</f>
        <v>0</v>
      </c>
      <c r="AB364" s="281">
        <f>ROUND((R364*V364*F364*O364/1000000),4)</f>
        <v>0</v>
      </c>
      <c r="AC364" s="282" t="s">
        <v>200</v>
      </c>
      <c r="AD364" s="283" t="s">
        <v>153</v>
      </c>
      <c r="AE364" s="284">
        <f>MAX(AE268,AE274,AE280,AE286,AE292,AE298,AE304,AE310,AE316,AE322,AE328,AE334,AE340,AE346,AE352,AE358)</f>
        <v>0.12720000000000001</v>
      </c>
      <c r="AF364" s="284">
        <f>AF268+AF274+AF280+AF286+AF292+AF298+AF304+AF310+AF316+AF322+AF328+AF334+AF340+AF346+AF352+AF358</f>
        <v>7.3048999999999999</v>
      </c>
      <c r="AG364" s="288"/>
      <c r="AH364" s="288"/>
    </row>
    <row r="365" spans="1:34" s="285" customFormat="1" ht="12.95" customHeight="1" x14ac:dyDescent="0.2">
      <c r="A365" s="1057"/>
      <c r="B365" s="1060"/>
      <c r="C365" s="1060"/>
      <c r="D365" s="1060"/>
      <c r="E365" s="1060"/>
      <c r="F365" s="1060"/>
      <c r="G365" s="1060"/>
      <c r="H365" s="1060"/>
      <c r="I365" s="1060"/>
      <c r="J365" s="1060"/>
      <c r="K365" s="1060"/>
      <c r="L365" s="1060"/>
      <c r="M365" s="1060"/>
      <c r="N365" s="1060"/>
      <c r="O365" s="1060"/>
      <c r="P365" s="1060"/>
      <c r="Q365" s="1060"/>
      <c r="R365" s="1060"/>
      <c r="S365" s="1061"/>
      <c r="T365" s="286"/>
      <c r="U365" s="286"/>
      <c r="V365" s="286"/>
      <c r="W365" s="286"/>
      <c r="X365" s="286"/>
      <c r="Y365" s="286"/>
      <c r="Z365" s="286"/>
      <c r="AA365" s="286"/>
      <c r="AB365" s="286"/>
      <c r="AC365" s="282" t="s">
        <v>201</v>
      </c>
      <c r="AD365" s="283" t="s">
        <v>202</v>
      </c>
      <c r="AE365" s="284">
        <f t="shared" ref="AE365:AE369" si="4">MAX(AE269,AE275,AE281,AE287,AE293,AE299,AE305,AE311,AE317,AE323,AE329,AE335,AE341,AE347,AE353,AE359)</f>
        <v>2.07E-2</v>
      </c>
      <c r="AF365" s="284">
        <f t="shared" ref="AF365:AF369" si="5">AF269+AF275+AF281+AF287+AF293+AF299+AF305+AF311+AF317+AF323+AF329+AF335+AF341+AF347+AF353+AF359</f>
        <v>1.1869999999999996</v>
      </c>
      <c r="AG365" s="288"/>
      <c r="AH365" s="288"/>
    </row>
    <row r="366" spans="1:34" s="285" customFormat="1" ht="12.95" customHeight="1" x14ac:dyDescent="0.2">
      <c r="A366" s="1057"/>
      <c r="B366" s="1060"/>
      <c r="C366" s="1060"/>
      <c r="D366" s="1060"/>
      <c r="E366" s="1060"/>
      <c r="F366" s="1060"/>
      <c r="G366" s="1060"/>
      <c r="H366" s="1060"/>
      <c r="I366" s="1060"/>
      <c r="J366" s="1060"/>
      <c r="K366" s="1060"/>
      <c r="L366" s="1060"/>
      <c r="M366" s="1060"/>
      <c r="N366" s="1060"/>
      <c r="O366" s="1060"/>
      <c r="P366" s="1060"/>
      <c r="Q366" s="1060"/>
      <c r="R366" s="1060"/>
      <c r="S366" s="1061"/>
      <c r="T366" s="280">
        <f>ROUND((L366*I364+1.3*L366*K364+S366*H364),4)</f>
        <v>0</v>
      </c>
      <c r="U366" s="280">
        <f>ROUND((M366*0.9*I364+1.3*M366*0.9*K364+S366*H364),4)</f>
        <v>0</v>
      </c>
      <c r="V366" s="280">
        <f>ROUND((M366*I364+1.3*M366*K364+S366*H364),4)</f>
        <v>0</v>
      </c>
      <c r="W366" s="280">
        <f>ROUND((L366*J364+1.3*L366*N364+S366*G364),4)</f>
        <v>0</v>
      </c>
      <c r="X366" s="280">
        <f>ROUND((M366*0.9*J364+1.3*M366*0.9*N364+S366*G364),4)</f>
        <v>0</v>
      </c>
      <c r="Y366" s="280">
        <f>ROUND((M366*J364+1.3*M366*N364+S366*G364),4)</f>
        <v>0</v>
      </c>
      <c r="Z366" s="281">
        <f>ROUND((P364*T366*F364*O364/1000000),4)</f>
        <v>0</v>
      </c>
      <c r="AA366" s="281">
        <f>ROUND((Q364*U366*F364*O364/1000000),4)</f>
        <v>0</v>
      </c>
      <c r="AB366" s="281">
        <f>ROUND((R364*V366*F364*O364/1000000),4)</f>
        <v>0</v>
      </c>
      <c r="AC366" s="282" t="s">
        <v>203</v>
      </c>
      <c r="AD366" s="283" t="s">
        <v>204</v>
      </c>
      <c r="AE366" s="284">
        <f t="shared" si="4"/>
        <v>1.4500000000000001E-2</v>
      </c>
      <c r="AF366" s="284">
        <f t="shared" si="5"/>
        <v>0.80810000000000015</v>
      </c>
      <c r="AG366" s="288"/>
      <c r="AH366" s="288"/>
    </row>
    <row r="367" spans="1:34" s="285" customFormat="1" ht="12.95" customHeight="1" x14ac:dyDescent="0.2">
      <c r="A367" s="1057"/>
      <c r="B367" s="1060"/>
      <c r="C367" s="1060"/>
      <c r="D367" s="1060"/>
      <c r="E367" s="1060"/>
      <c r="F367" s="1060"/>
      <c r="G367" s="1060"/>
      <c r="H367" s="1060"/>
      <c r="I367" s="1060"/>
      <c r="J367" s="1060"/>
      <c r="K367" s="1060"/>
      <c r="L367" s="1060"/>
      <c r="M367" s="1060"/>
      <c r="N367" s="1060"/>
      <c r="O367" s="1060"/>
      <c r="P367" s="1060"/>
      <c r="Q367" s="1060"/>
      <c r="R367" s="1060"/>
      <c r="S367" s="1061"/>
      <c r="T367" s="280">
        <f>ROUND((L367*I364+1.3*L367*K364+S367*H364),4)</f>
        <v>0</v>
      </c>
      <c r="U367" s="280">
        <f>ROUND((M367*0.9*I364+1.3*M367*0.9*K364+S367*H364),4)</f>
        <v>0</v>
      </c>
      <c r="V367" s="280">
        <f>ROUND((M367*I364+1.3*M367*K364+S367*H364),4)</f>
        <v>0</v>
      </c>
      <c r="W367" s="280">
        <f>ROUND((L367*J364+1.3*L367*N364+S367*G364),4)</f>
        <v>0</v>
      </c>
      <c r="X367" s="280">
        <f>ROUND((M367*0.9*J364+1.3*M367*0.9*N364+S367*G364),4)</f>
        <v>0</v>
      </c>
      <c r="Y367" s="280">
        <f>ROUND((M367*J364+1.3*N364+S367*G364),4)</f>
        <v>0</v>
      </c>
      <c r="Z367" s="281">
        <f>ROUND((P364*T367*F364*O364/1000000),4)</f>
        <v>0</v>
      </c>
      <c r="AA367" s="281">
        <f>ROUND((Q364*U367*F364*O364/1000000),4)</f>
        <v>0</v>
      </c>
      <c r="AB367" s="281">
        <f>ROUND((R364*V367*F364*O364/1000000),4)</f>
        <v>0</v>
      </c>
      <c r="AC367" s="282" t="s">
        <v>205</v>
      </c>
      <c r="AD367" s="283" t="s">
        <v>206</v>
      </c>
      <c r="AE367" s="284">
        <f t="shared" si="4"/>
        <v>3.32E-2</v>
      </c>
      <c r="AF367" s="284">
        <f t="shared" si="5"/>
        <v>1.6676</v>
      </c>
      <c r="AG367" s="288"/>
      <c r="AH367" s="288"/>
    </row>
    <row r="368" spans="1:34" s="285" customFormat="1" ht="12.95" customHeight="1" x14ac:dyDescent="0.2">
      <c r="A368" s="1057"/>
      <c r="B368" s="1060"/>
      <c r="C368" s="1060"/>
      <c r="D368" s="1060"/>
      <c r="E368" s="1060"/>
      <c r="F368" s="1060"/>
      <c r="G368" s="1060"/>
      <c r="H368" s="1060"/>
      <c r="I368" s="1060"/>
      <c r="J368" s="1060"/>
      <c r="K368" s="1060"/>
      <c r="L368" s="1060"/>
      <c r="M368" s="1060"/>
      <c r="N368" s="1060"/>
      <c r="O368" s="1060"/>
      <c r="P368" s="1060"/>
      <c r="Q368" s="1060"/>
      <c r="R368" s="1060"/>
      <c r="S368" s="1061"/>
      <c r="T368" s="280">
        <f>ROUND((L368*I364+1.3*L368*K364+S368*H364),4)</f>
        <v>0</v>
      </c>
      <c r="U368" s="280">
        <f>ROUND((M368*0.9*I364+1.3*M368*0.9*K364+S368*H364),4)</f>
        <v>0</v>
      </c>
      <c r="V368" s="280">
        <f>ROUND((M368*I364+1.3*M368*K364+S368*H364),4)</f>
        <v>0</v>
      </c>
      <c r="W368" s="280">
        <f>ROUND((L368*J364+1.3*L368*N364+S368*G364),4)</f>
        <v>0</v>
      </c>
      <c r="X368" s="280">
        <f>ROUND((M368*0.9*J364+1.3*M368*0.9*N364+S368*G364),4)</f>
        <v>0</v>
      </c>
      <c r="Y368" s="280">
        <f>ROUND((M368*J364+1.3*M368*N364+S368*G364),4)</f>
        <v>0</v>
      </c>
      <c r="Z368" s="281">
        <f>ROUND((P364*T368*F364*O364/1000000),4)</f>
        <v>0</v>
      </c>
      <c r="AA368" s="281">
        <f>ROUND((Q364*U368*F364*O364/1000000),4)</f>
        <v>0</v>
      </c>
      <c r="AB368" s="281">
        <f>ROUND((R364*V368*F364*O364/1000000),4)</f>
        <v>0</v>
      </c>
      <c r="AC368" s="282" t="s">
        <v>250</v>
      </c>
      <c r="AD368" s="283" t="s">
        <v>208</v>
      </c>
      <c r="AE368" s="284">
        <f t="shared" si="4"/>
        <v>2.3800000000000002E-2</v>
      </c>
      <c r="AF368" s="284">
        <f t="shared" si="5"/>
        <v>1.0709</v>
      </c>
      <c r="AG368" s="288"/>
      <c r="AH368" s="288"/>
    </row>
    <row r="369" spans="1:34" s="285" customFormat="1" ht="12.95" customHeight="1" x14ac:dyDescent="0.2">
      <c r="A369" s="1062"/>
      <c r="B369" s="1063"/>
      <c r="C369" s="1063"/>
      <c r="D369" s="1063"/>
      <c r="E369" s="1063"/>
      <c r="F369" s="1063"/>
      <c r="G369" s="1063"/>
      <c r="H369" s="1063"/>
      <c r="I369" s="1063"/>
      <c r="J369" s="1063"/>
      <c r="K369" s="1063"/>
      <c r="L369" s="1063"/>
      <c r="M369" s="1063"/>
      <c r="N369" s="1063"/>
      <c r="O369" s="1063"/>
      <c r="P369" s="1063"/>
      <c r="Q369" s="1063"/>
      <c r="R369" s="1063"/>
      <c r="S369" s="1064"/>
      <c r="T369" s="280">
        <f>ROUND((L369*I364+1.3*L369*K364+S369*H364),4)</f>
        <v>0</v>
      </c>
      <c r="U369" s="280">
        <f>ROUND((M369*0.9*I364+1.3*M369*0.9*K364+S369*H364),4)</f>
        <v>0</v>
      </c>
      <c r="V369" s="280">
        <f>ROUND((M369*I364+1.3*M369*K364+S369*H364),4)</f>
        <v>0</v>
      </c>
      <c r="W369" s="280">
        <f>ROUND((L369*J364+1.3*L369*N364+S369*G364),4)</f>
        <v>0</v>
      </c>
      <c r="X369" s="280">
        <f>ROUND((M369*0.9*J364+1.3*M369*0.9*N364+S369*G364),4)</f>
        <v>0</v>
      </c>
      <c r="Y369" s="280">
        <f>ROUND((M369*J364+1.3*M369*N364+S369*G364),4)</f>
        <v>0</v>
      </c>
      <c r="Z369" s="281">
        <f>ROUND((P364*T369*F364*O364/1000000),4)</f>
        <v>0</v>
      </c>
      <c r="AA369" s="281">
        <f>ROUND((Q364*U369*F364*O364/1000000),4)</f>
        <v>0</v>
      </c>
      <c r="AB369" s="281">
        <f>ROUND((R364*V369*F364*O364/1000000),4)</f>
        <v>0</v>
      </c>
      <c r="AC369" s="282" t="s">
        <v>170</v>
      </c>
      <c r="AD369" s="283" t="s">
        <v>162</v>
      </c>
      <c r="AE369" s="284">
        <f t="shared" si="4"/>
        <v>0.12039999999999999</v>
      </c>
      <c r="AF369" s="284">
        <f t="shared" si="5"/>
        <v>5.2055000000000016</v>
      </c>
      <c r="AG369" s="290">
        <f>SUM(AE364:AE369)</f>
        <v>0.33980000000000005</v>
      </c>
      <c r="AH369" s="583">
        <f>SUM(AF364:AF369)</f>
        <v>17.244</v>
      </c>
    </row>
    <row r="370" spans="1:34" s="285" customFormat="1" ht="12.95" customHeight="1" x14ac:dyDescent="0.2">
      <c r="A370" s="1068" t="s">
        <v>103</v>
      </c>
      <c r="B370" s="1069"/>
      <c r="C370" s="1069"/>
      <c r="D370" s="1069"/>
      <c r="E370" s="1069"/>
      <c r="F370" s="1069"/>
      <c r="G370" s="1069"/>
      <c r="H370" s="1069"/>
      <c r="I370" s="1069"/>
      <c r="J370" s="1069"/>
      <c r="K370" s="1069"/>
      <c r="L370" s="1069"/>
      <c r="M370" s="1069"/>
      <c r="N370" s="1069"/>
      <c r="O370" s="1069"/>
      <c r="P370" s="1069"/>
      <c r="Q370" s="1069"/>
      <c r="R370" s="1069"/>
      <c r="S370" s="1069"/>
      <c r="T370" s="1069"/>
      <c r="U370" s="1069"/>
      <c r="V370" s="1069"/>
      <c r="W370" s="1069"/>
      <c r="X370" s="1069"/>
      <c r="Y370" s="1069"/>
      <c r="Z370" s="1069"/>
      <c r="AA370" s="1069"/>
      <c r="AB370" s="1069"/>
      <c r="AC370" s="1069"/>
      <c r="AD370" s="1069"/>
      <c r="AE370" s="1069"/>
      <c r="AF370" s="1070"/>
      <c r="AG370" s="290"/>
    </row>
    <row r="371" spans="1:34" ht="12.95" customHeight="1" x14ac:dyDescent="0.25">
      <c r="A371" s="45">
        <v>8030</v>
      </c>
      <c r="B371" s="46" t="s">
        <v>218</v>
      </c>
      <c r="C371" s="45">
        <v>4</v>
      </c>
      <c r="D371" s="45" t="s">
        <v>199</v>
      </c>
      <c r="E371" s="45">
        <v>1</v>
      </c>
      <c r="F371" s="45">
        <v>1</v>
      </c>
      <c r="G371" s="45">
        <v>6</v>
      </c>
      <c r="H371" s="45">
        <v>60</v>
      </c>
      <c r="I371" s="45">
        <f>(8-1-0.75*2)*60*F371-K371-8*0.12*60</f>
        <v>57.900000000000006</v>
      </c>
      <c r="J371" s="45">
        <v>14</v>
      </c>
      <c r="K371" s="45">
        <f>(8-1-0.75*2)*0.65*60*F371</f>
        <v>214.5</v>
      </c>
      <c r="L371" s="45">
        <v>2.4700000000000002</v>
      </c>
      <c r="M371" s="45">
        <v>2.4700000000000002</v>
      </c>
      <c r="N371" s="45">
        <v>10</v>
      </c>
      <c r="O371" s="45">
        <f>E371/F371</f>
        <v>1</v>
      </c>
      <c r="P371" s="45">
        <v>150</v>
      </c>
      <c r="Q371" s="45">
        <v>0</v>
      </c>
      <c r="R371" s="47">
        <v>0</v>
      </c>
      <c r="S371" s="45">
        <v>0.48</v>
      </c>
      <c r="T371" s="48">
        <f>ROUND((L371*I371+1.3*L371*K371+S371*H371),4)</f>
        <v>860.57249999999999</v>
      </c>
      <c r="U371" s="48">
        <f>ROUND((M371*I371+1.3*M371*K371+S371*H371),4)</f>
        <v>860.57249999999999</v>
      </c>
      <c r="V371" s="48">
        <f>ROUND((M371*I371+1.3*M371*K371+S371*H371),4)</f>
        <v>860.57249999999999</v>
      </c>
      <c r="W371" s="48">
        <f>ROUND((L371*J371+1.3*L371*N371+S371*G371),4)</f>
        <v>69.569999999999993</v>
      </c>
      <c r="X371" s="48">
        <f>ROUND((M371*J371+1.3*M371*N371+S371*G371),4)</f>
        <v>69.569999999999993</v>
      </c>
      <c r="Y371" s="48">
        <f>ROUND((M371*J371+1.3*M371*N371+S371*G371),4)</f>
        <v>69.569999999999993</v>
      </c>
      <c r="Z371" s="49">
        <f>ROUND((P371*T371*F371*O371/1000000),4)</f>
        <v>0.12909999999999999</v>
      </c>
      <c r="AA371" s="49">
        <f>ROUND((Q371*U371*F371*O371/1000000),4)</f>
        <v>0</v>
      </c>
      <c r="AB371" s="49">
        <f>ROUND((R371*V371*F371*O371/1000000),4)</f>
        <v>0</v>
      </c>
      <c r="AC371" s="50" t="s">
        <v>200</v>
      </c>
      <c r="AD371" s="51" t="s">
        <v>153</v>
      </c>
      <c r="AE371" s="44">
        <f>ROUND((((X371*E371)/1800)*0.8),4)</f>
        <v>3.09E-2</v>
      </c>
      <c r="AF371" s="44">
        <f>ROUND(((Z371+AA371+AB371)*0.8),4)</f>
        <v>0.1033</v>
      </c>
    </row>
    <row r="372" spans="1:34" ht="12.95" customHeight="1" x14ac:dyDescent="0.25">
      <c r="A372" s="63"/>
      <c r="B372" s="53" t="s">
        <v>219</v>
      </c>
      <c r="C372" s="52"/>
      <c r="D372" s="52"/>
      <c r="E372" s="52"/>
      <c r="F372" s="63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68"/>
      <c r="T372" s="54"/>
      <c r="U372" s="54"/>
      <c r="V372" s="54"/>
      <c r="W372" s="54"/>
      <c r="X372" s="54"/>
      <c r="Y372" s="54"/>
      <c r="Z372" s="54"/>
      <c r="AA372" s="54"/>
      <c r="AB372" s="54"/>
      <c r="AC372" s="50" t="s">
        <v>201</v>
      </c>
      <c r="AD372" s="51" t="s">
        <v>202</v>
      </c>
      <c r="AE372" s="44">
        <f>ROUND((((X371*E371)/1800)*0.13),4)</f>
        <v>5.0000000000000001E-3</v>
      </c>
      <c r="AF372" s="44">
        <f>ROUND(((Z371+AA371+AB371)*0.13),4)</f>
        <v>1.6799999999999999E-2</v>
      </c>
    </row>
    <row r="373" spans="1:34" ht="12.95" customHeight="1" x14ac:dyDescent="0.25">
      <c r="A373" s="63"/>
      <c r="B373" s="53"/>
      <c r="C373" s="55"/>
      <c r="D373" s="55"/>
      <c r="E373" s="52"/>
      <c r="F373" s="63"/>
      <c r="G373" s="52"/>
      <c r="H373" s="52"/>
      <c r="I373" s="52"/>
      <c r="J373" s="52"/>
      <c r="K373" s="52"/>
      <c r="L373" s="52">
        <v>0.19</v>
      </c>
      <c r="M373" s="52">
        <v>0.23</v>
      </c>
      <c r="N373" s="52"/>
      <c r="O373" s="52"/>
      <c r="P373" s="52"/>
      <c r="Q373" s="52"/>
      <c r="R373" s="52"/>
      <c r="S373" s="69">
        <v>9.7000000000000003E-2</v>
      </c>
      <c r="T373" s="48">
        <f>ROUND((L373*I371+1.3*L373*K371+S373*H371),4)</f>
        <v>69.802499999999995</v>
      </c>
      <c r="U373" s="48">
        <f>ROUND((M373*0.9*I371+1.3*M373*0.9*K371+S373*H371),4)</f>
        <v>75.527299999999997</v>
      </c>
      <c r="V373" s="48">
        <f>ROUND((M373*I371+1.3*M373*K371+S373*H371),4)</f>
        <v>83.272499999999994</v>
      </c>
      <c r="W373" s="48">
        <f>ROUND((L373*J371+1.3*L373*N371+S373*G371),4)</f>
        <v>5.7119999999999997</v>
      </c>
      <c r="X373" s="48">
        <f>ROUND((M373*0.9*J371+1.3*M373*0.9*N371+S373*G371),4)</f>
        <v>6.1710000000000003</v>
      </c>
      <c r="Y373" s="48">
        <f>ROUND((M373*J371+1.3*M373*N371+S373*G371),4)</f>
        <v>6.7919999999999998</v>
      </c>
      <c r="Z373" s="49">
        <f>ROUND((P371*T373*F371*O371/1000000),4)</f>
        <v>1.0500000000000001E-2</v>
      </c>
      <c r="AA373" s="49">
        <f>ROUND((Q371*U373*F371*O371/1000000),4)</f>
        <v>0</v>
      </c>
      <c r="AB373" s="49">
        <f>ROUND((R371*V373*F371*O371/1000000),4)</f>
        <v>0</v>
      </c>
      <c r="AC373" s="50" t="s">
        <v>203</v>
      </c>
      <c r="AD373" s="51" t="s">
        <v>204</v>
      </c>
      <c r="AE373" s="44">
        <f>ROUND((((X373*E371)/1800)),4)</f>
        <v>3.3999999999999998E-3</v>
      </c>
      <c r="AF373" s="44">
        <f>ROUND(((Z373+AA373+AB373)),5)</f>
        <v>1.0500000000000001E-2</v>
      </c>
    </row>
    <row r="374" spans="1:34" ht="12.95" customHeight="1" x14ac:dyDescent="0.25">
      <c r="A374" s="63"/>
      <c r="B374" s="98"/>
      <c r="C374" s="52"/>
      <c r="D374" s="52"/>
      <c r="E374" s="52"/>
      <c r="F374" s="63"/>
      <c r="G374" s="52"/>
      <c r="H374" s="52"/>
      <c r="I374" s="52"/>
      <c r="J374" s="52"/>
      <c r="K374" s="52"/>
      <c r="L374" s="52">
        <v>0.43</v>
      </c>
      <c r="M374" s="52">
        <v>0.51</v>
      </c>
      <c r="N374" s="52"/>
      <c r="O374" s="52"/>
      <c r="P374" s="52"/>
      <c r="Q374" s="52"/>
      <c r="R374" s="52"/>
      <c r="S374" s="69">
        <v>0.3</v>
      </c>
      <c r="T374" s="48">
        <f>ROUND((L374*I371+1.3*L374*K371+S374*H371),4)</f>
        <v>162.80250000000001</v>
      </c>
      <c r="U374" s="48">
        <f>ROUND((M374*0.9*I371+1.3*M374*0.9*K371+S374*H371),4)</f>
        <v>172.56829999999999</v>
      </c>
      <c r="V374" s="48">
        <f>ROUND((M374*I371+1.3*M374*K371+S374*H371),4)</f>
        <v>189.74250000000001</v>
      </c>
      <c r="W374" s="48">
        <f>ROUND((L374*J371+1.3*L374*N371+S374*G371),4)</f>
        <v>13.41</v>
      </c>
      <c r="X374" s="48">
        <f>ROUND((M374*0.9*J371+1.3*M374*0.9*N371+S374*G371),4)</f>
        <v>14.193</v>
      </c>
      <c r="Y374" s="48">
        <f>ROUND((M374*J371+1.3*N371+S374*G371),4)</f>
        <v>21.94</v>
      </c>
      <c r="Z374" s="49">
        <f>ROUND((P371*T374*F371*O371/1000000),4)</f>
        <v>2.4400000000000002E-2</v>
      </c>
      <c r="AA374" s="49">
        <f>ROUND((Q371*U374*F371*O371/1000000),4)</f>
        <v>0</v>
      </c>
      <c r="AB374" s="49">
        <f>ROUND((R371*V374*F371*O371/1000000),4)</f>
        <v>0</v>
      </c>
      <c r="AC374" s="50" t="s">
        <v>205</v>
      </c>
      <c r="AD374" s="51" t="s">
        <v>206</v>
      </c>
      <c r="AE374" s="44">
        <f>ROUND((((X374*E371)/1800)),4)</f>
        <v>7.9000000000000008E-3</v>
      </c>
      <c r="AF374" s="44">
        <f>ROUND(((Z374+AA374+AB374)),4)</f>
        <v>2.4400000000000002E-2</v>
      </c>
    </row>
    <row r="375" spans="1:34" ht="12.95" customHeight="1" x14ac:dyDescent="0.25">
      <c r="A375" s="63"/>
      <c r="B375" s="53"/>
      <c r="C375" s="52"/>
      <c r="D375" s="52"/>
      <c r="E375" s="52"/>
      <c r="F375" s="63"/>
      <c r="G375" s="52"/>
      <c r="H375" s="52"/>
      <c r="I375" s="52"/>
      <c r="J375" s="52"/>
      <c r="K375" s="52"/>
      <c r="L375" s="52">
        <v>0.27</v>
      </c>
      <c r="M375" s="52">
        <v>0.41</v>
      </c>
      <c r="N375" s="52"/>
      <c r="O375" s="52"/>
      <c r="P375" s="52"/>
      <c r="Q375" s="52"/>
      <c r="R375" s="52"/>
      <c r="S375" s="69">
        <v>0.06</v>
      </c>
      <c r="T375" s="48">
        <f>ROUND((L375*I371+1.3*L375*K371+S375*H371),4)</f>
        <v>94.522499999999994</v>
      </c>
      <c r="U375" s="48">
        <f>ROUND((M375*0.9*I371+1.3*M375*0.9*K371+S375*H371),4)</f>
        <v>127.8608</v>
      </c>
      <c r="V375" s="48">
        <f>ROUND((M375*I371+1.3*M375*K371+S375*H371),4)</f>
        <v>141.66749999999999</v>
      </c>
      <c r="W375" s="48">
        <f>ROUND((L375*J371+1.3*L375*N371+S375*G371),4)</f>
        <v>7.65</v>
      </c>
      <c r="X375" s="48">
        <f>ROUND((M375*0.9*J371+1.3*M375*0.9*N371+S375*G371),4)</f>
        <v>10.323</v>
      </c>
      <c r="Y375" s="48">
        <f>ROUND((M375*J371+1.3*M375*N371+S375*G371),4)</f>
        <v>11.43</v>
      </c>
      <c r="Z375" s="49">
        <f>ROUND((P371*T375*F371*O371/1000000),4)</f>
        <v>1.4200000000000001E-2</v>
      </c>
      <c r="AA375" s="49">
        <f>ROUND((Q371*U375*F371*O371/1000000),4)</f>
        <v>0</v>
      </c>
      <c r="AB375" s="49">
        <f>ROUND((R371*V375*F371*O371/1000000),4)</f>
        <v>0</v>
      </c>
      <c r="AC375" s="50" t="s">
        <v>250</v>
      </c>
      <c r="AD375" s="51" t="s">
        <v>208</v>
      </c>
      <c r="AE375" s="44">
        <f>ROUND((((X375*E371)/1800)),4)</f>
        <v>5.7000000000000002E-3</v>
      </c>
      <c r="AF375" s="44">
        <f>ROUND(((Z375+AA375+AB375)),4)</f>
        <v>1.4200000000000001E-2</v>
      </c>
    </row>
    <row r="376" spans="1:34" ht="12.95" customHeight="1" x14ac:dyDescent="0.25">
      <c r="A376" s="63"/>
      <c r="B376" s="53"/>
      <c r="C376" s="56"/>
      <c r="D376" s="56"/>
      <c r="E376" s="56"/>
      <c r="F376" s="66"/>
      <c r="G376" s="56"/>
      <c r="H376" s="56"/>
      <c r="I376" s="56"/>
      <c r="J376" s="56"/>
      <c r="K376" s="56"/>
      <c r="L376" s="56">
        <v>1.29</v>
      </c>
      <c r="M376" s="56">
        <v>1.57</v>
      </c>
      <c r="N376" s="56"/>
      <c r="O376" s="56"/>
      <c r="P376" s="56"/>
      <c r="Q376" s="56"/>
      <c r="R376" s="56"/>
      <c r="S376" s="69">
        <v>2.4</v>
      </c>
      <c r="T376" s="70">
        <f>ROUND((L376*I371+1.3*L376*K371+S376*H371),4)</f>
        <v>578.40750000000003</v>
      </c>
      <c r="U376" s="70">
        <f>ROUND((M376*0.9*I371+1.3*M376*0.9*K371+S376*H371),4)</f>
        <v>619.82780000000002</v>
      </c>
      <c r="V376" s="70">
        <f>ROUND((M376*I371+1.3*M376*K371+S376*H371),4)</f>
        <v>672.69749999999999</v>
      </c>
      <c r="W376" s="70">
        <f>ROUND((L376*J371+1.3*L376*N371+S376*G371),4)</f>
        <v>49.23</v>
      </c>
      <c r="X376" s="70">
        <f>ROUND((M376*0.9*J371+1.3*M376*0.9*N371+S376*G371),4)</f>
        <v>52.551000000000002</v>
      </c>
      <c r="Y376" s="70">
        <f>ROUND((M376*J371+1.3*M376*N371+S376*G371),4)</f>
        <v>56.79</v>
      </c>
      <c r="Z376" s="71">
        <f>ROUND((P371*T376*F371*O371/1000000),4)</f>
        <v>8.6800000000000002E-2</v>
      </c>
      <c r="AA376" s="71">
        <f>ROUND((Q371*U376*F371*O371/1000000),4)</f>
        <v>0</v>
      </c>
      <c r="AB376" s="71">
        <f>ROUND((R371*V376*F371*O371/1000000),4)</f>
        <v>0</v>
      </c>
      <c r="AC376" s="50" t="s">
        <v>170</v>
      </c>
      <c r="AD376" s="51" t="s">
        <v>162</v>
      </c>
      <c r="AE376" s="44">
        <f>ROUND((((X376*E371)/1800)),4)</f>
        <v>2.92E-2</v>
      </c>
      <c r="AF376" s="44">
        <f>ROUND(((Z376+AA376+AB376)),4)</f>
        <v>8.6800000000000002E-2</v>
      </c>
    </row>
    <row r="377" spans="1:34" ht="12.95" customHeight="1" x14ac:dyDescent="0.25">
      <c r="A377" s="63"/>
      <c r="B377" s="46" t="s">
        <v>211</v>
      </c>
      <c r="C377" s="46">
        <v>5</v>
      </c>
      <c r="D377" s="45" t="s">
        <v>209</v>
      </c>
      <c r="E377" s="45">
        <v>1</v>
      </c>
      <c r="F377" s="45">
        <v>1</v>
      </c>
      <c r="G377" s="45">
        <v>6</v>
      </c>
      <c r="H377" s="45">
        <v>60</v>
      </c>
      <c r="I377" s="45">
        <f>(8-1-0.75*2)*60*F377-K377-8*0.12*60</f>
        <v>57.900000000000006</v>
      </c>
      <c r="J377" s="45">
        <v>14</v>
      </c>
      <c r="K377" s="45">
        <f>(8-1-0.75*2)*0.65*60*F377</f>
        <v>214.5</v>
      </c>
      <c r="L377" s="48">
        <v>4.01</v>
      </c>
      <c r="M377" s="48">
        <v>4.01</v>
      </c>
      <c r="N377" s="45">
        <v>10</v>
      </c>
      <c r="O377" s="45">
        <f>E377/F377</f>
        <v>1</v>
      </c>
      <c r="P377" s="45">
        <v>180</v>
      </c>
      <c r="Q377" s="45">
        <v>90</v>
      </c>
      <c r="R377" s="47">
        <v>30</v>
      </c>
      <c r="S377" s="47">
        <v>0.78</v>
      </c>
      <c r="T377" s="48">
        <f>ROUND((L377*I377+1.3*L377*K377+S377*H377),4)</f>
        <v>1397.1675</v>
      </c>
      <c r="U377" s="48">
        <f>ROUND((M377*I377+1.3*M377*K377+S377*H377),4)</f>
        <v>1397.1675</v>
      </c>
      <c r="V377" s="48">
        <f>ROUND((M377*I377+1.3*M377*K377+S377*H377),4)</f>
        <v>1397.1675</v>
      </c>
      <c r="W377" s="48">
        <f>ROUND((L377*J377+1.3*L377*N377+S377*G377),4)</f>
        <v>112.95</v>
      </c>
      <c r="X377" s="48">
        <f>ROUND((M377*J377+1.3*M377*N377+S377*G377),4)</f>
        <v>112.95</v>
      </c>
      <c r="Y377" s="48">
        <f>ROUND((M377*J377+1.3*M377*N377+S377*G377),4)</f>
        <v>112.95</v>
      </c>
      <c r="Z377" s="49">
        <f>ROUND((P377*T377*F377*O377/1000000),4)</f>
        <v>0.2515</v>
      </c>
      <c r="AA377" s="49">
        <f>ROUND((Q377*U377*F377*O377/1000000),4)</f>
        <v>0.12570000000000001</v>
      </c>
      <c r="AB377" s="49">
        <f>ROUND((R377*V377*F377*O377/1000000),4)</f>
        <v>4.19E-2</v>
      </c>
      <c r="AC377" s="50" t="s">
        <v>200</v>
      </c>
      <c r="AD377" s="51" t="s">
        <v>153</v>
      </c>
      <c r="AE377" s="44">
        <f>ROUND((((X377*E377)/1800)*0.8),4)</f>
        <v>5.0200000000000002E-2</v>
      </c>
      <c r="AF377" s="44">
        <f>ROUND(((Z377+AA377+AB377)*0.8),4)</f>
        <v>0.33529999999999999</v>
      </c>
    </row>
    <row r="378" spans="1:34" ht="12.95" customHeight="1" x14ac:dyDescent="0.25">
      <c r="A378" s="63"/>
      <c r="B378" s="73" t="s">
        <v>212</v>
      </c>
      <c r="C378" s="53"/>
      <c r="D378" s="52"/>
      <c r="E378" s="52"/>
      <c r="F378" s="52"/>
      <c r="G378" s="52"/>
      <c r="H378" s="52"/>
      <c r="I378" s="52"/>
      <c r="J378" s="52"/>
      <c r="K378" s="52"/>
      <c r="L378" s="56"/>
      <c r="M378" s="56"/>
      <c r="N378" s="52"/>
      <c r="O378" s="52"/>
      <c r="P378" s="63"/>
      <c r="Q378" s="63"/>
      <c r="R378" s="63"/>
      <c r="S378" s="57"/>
      <c r="T378" s="54"/>
      <c r="U378" s="54"/>
      <c r="V378" s="54"/>
      <c r="W378" s="54"/>
      <c r="X378" s="54"/>
      <c r="Y378" s="54"/>
      <c r="Z378" s="54"/>
      <c r="AA378" s="54"/>
      <c r="AB378" s="54"/>
      <c r="AC378" s="50" t="s">
        <v>201</v>
      </c>
      <c r="AD378" s="51" t="s">
        <v>202</v>
      </c>
      <c r="AE378" s="44">
        <f>ROUND((((X377*E377)/1800)*0.13),4)</f>
        <v>8.2000000000000007E-3</v>
      </c>
      <c r="AF378" s="44">
        <f>ROUND(((Z377+AA377+AB377)*0.13),4)</f>
        <v>5.45E-2</v>
      </c>
    </row>
    <row r="379" spans="1:34" ht="12.95" customHeight="1" x14ac:dyDescent="0.25">
      <c r="A379" s="63"/>
      <c r="B379" s="64"/>
      <c r="C379" s="58"/>
      <c r="D379" s="55"/>
      <c r="E379" s="52"/>
      <c r="F379" s="52"/>
      <c r="G379" s="52"/>
      <c r="H379" s="52"/>
      <c r="I379" s="52"/>
      <c r="J379" s="52"/>
      <c r="K379" s="52"/>
      <c r="L379" s="59">
        <v>0.31</v>
      </c>
      <c r="M379" s="59">
        <v>0.38</v>
      </c>
      <c r="N379" s="52"/>
      <c r="O379" s="52"/>
      <c r="P379" s="63"/>
      <c r="Q379" s="63"/>
      <c r="R379" s="63"/>
      <c r="S379" s="60">
        <v>0.16</v>
      </c>
      <c r="T379" s="48">
        <f>ROUND((L379*I377+1.3*L379*K377+S379*H377),4)</f>
        <v>113.99250000000001</v>
      </c>
      <c r="U379" s="48">
        <f>ROUND((M379*0.9*I377+1.3*M379*0.9*K377+S379*H377),4)</f>
        <v>124.7685</v>
      </c>
      <c r="V379" s="48">
        <f>ROUND((M379*I377+1.3*M379*K377+S379*H377),4)</f>
        <v>137.565</v>
      </c>
      <c r="W379" s="48">
        <f>ROUND((L379*J377+1.3*L379*N377+S379*G377),4)</f>
        <v>9.33</v>
      </c>
      <c r="X379" s="48">
        <f>ROUND((M379*0.9*J377+1.3*M379*0.9*N377+S379*G377),4)</f>
        <v>10.194000000000001</v>
      </c>
      <c r="Y379" s="48">
        <f>ROUND((M379*J377+1.3*M379*N377+S379*G377),4)</f>
        <v>11.22</v>
      </c>
      <c r="Z379" s="49">
        <f>ROUND((P377*T379*F377*O377/1000000),4)</f>
        <v>2.0500000000000001E-2</v>
      </c>
      <c r="AA379" s="49">
        <f>ROUND((Q377*U379*F377*O377/1000000),4)</f>
        <v>1.12E-2</v>
      </c>
      <c r="AB379" s="49">
        <f>ROUND((R377*V379*F377*O377/1000000),4)</f>
        <v>4.1000000000000003E-3</v>
      </c>
      <c r="AC379" s="50" t="s">
        <v>203</v>
      </c>
      <c r="AD379" s="51" t="s">
        <v>204</v>
      </c>
      <c r="AE379" s="44">
        <f>ROUND((((X379*E377)/1800)),4)</f>
        <v>5.7000000000000002E-3</v>
      </c>
      <c r="AF379" s="44">
        <f>ROUND(((Z379+AA379+AB379)),5)</f>
        <v>3.5799999999999998E-2</v>
      </c>
    </row>
    <row r="380" spans="1:34" ht="12.95" customHeight="1" x14ac:dyDescent="0.25">
      <c r="A380" s="63"/>
      <c r="B380" s="64"/>
      <c r="C380" s="53"/>
      <c r="D380" s="52"/>
      <c r="E380" s="52"/>
      <c r="F380" s="52"/>
      <c r="G380" s="52"/>
      <c r="H380" s="52"/>
      <c r="I380" s="52"/>
      <c r="J380" s="52"/>
      <c r="K380" s="52"/>
      <c r="L380" s="59">
        <v>0.71</v>
      </c>
      <c r="M380" s="59">
        <v>0.85</v>
      </c>
      <c r="N380" s="52"/>
      <c r="O380" s="52"/>
      <c r="P380" s="63"/>
      <c r="Q380" s="63"/>
      <c r="R380" s="63"/>
      <c r="S380" s="61">
        <v>0.49</v>
      </c>
      <c r="T380" s="48">
        <f>ROUND((L380*I377+1.3*L380*K377+S380*H377),4)</f>
        <v>268.49250000000001</v>
      </c>
      <c r="U380" s="48">
        <f>ROUND((M380*0.9*I377+1.3*M380*0.9*K377+S380*H377),4)</f>
        <v>287.0138</v>
      </c>
      <c r="V380" s="48">
        <f>ROUND((M380*I377+1.3*M380*K377+S380*H377),4)</f>
        <v>315.63749999999999</v>
      </c>
      <c r="W380" s="48">
        <f>ROUND((L380*J377+1.3*L380*N377+S380*G377),4)</f>
        <v>22.11</v>
      </c>
      <c r="X380" s="48">
        <f>ROUND((M380*0.9*J377+1.3*M380*0.9*N377+S380*G377),4)</f>
        <v>23.594999999999999</v>
      </c>
      <c r="Y380" s="48">
        <f>ROUND((M380*J377+1.3*N377+S380*G377),4)</f>
        <v>27.84</v>
      </c>
      <c r="Z380" s="49">
        <f>ROUND((P377*T380*F377*O377/1000000),4)</f>
        <v>4.8300000000000003E-2</v>
      </c>
      <c r="AA380" s="49">
        <f>ROUND((Q377*U380*F377*O377/1000000),4)</f>
        <v>2.58E-2</v>
      </c>
      <c r="AB380" s="49">
        <f>ROUND((R377*V380*F377*O377/1000000),4)</f>
        <v>9.4999999999999998E-3</v>
      </c>
      <c r="AC380" s="50" t="s">
        <v>205</v>
      </c>
      <c r="AD380" s="51" t="s">
        <v>206</v>
      </c>
      <c r="AE380" s="44">
        <f>ROUND((((X380*E377)/1800)),4)</f>
        <v>1.3100000000000001E-2</v>
      </c>
      <c r="AF380" s="44">
        <f>ROUND(((Z380+AA380+AB380)),4)</f>
        <v>8.3599999999999994E-2</v>
      </c>
    </row>
    <row r="381" spans="1:34" ht="12.95" customHeight="1" x14ac:dyDescent="0.25">
      <c r="A381" s="63"/>
      <c r="B381" s="64"/>
      <c r="C381" s="53"/>
      <c r="D381" s="52"/>
      <c r="E381" s="52"/>
      <c r="F381" s="52"/>
      <c r="G381" s="52"/>
      <c r="H381" s="52"/>
      <c r="I381" s="52"/>
      <c r="J381" s="52"/>
      <c r="K381" s="52"/>
      <c r="L381" s="59">
        <v>0.45</v>
      </c>
      <c r="M381" s="59">
        <v>0.67</v>
      </c>
      <c r="N381" s="52"/>
      <c r="O381" s="52"/>
      <c r="P381" s="63"/>
      <c r="Q381" s="63"/>
      <c r="R381" s="63"/>
      <c r="S381" s="61">
        <v>0.1</v>
      </c>
      <c r="T381" s="48">
        <f>ROUND((L381*I377+1.3*L381*K377+S381*H377),4)</f>
        <v>157.53749999999999</v>
      </c>
      <c r="U381" s="48">
        <f>ROUND((M381*0.9*I377+1.3*M381*0.9*K377+S381*H377),4)</f>
        <v>209.06030000000001</v>
      </c>
      <c r="V381" s="48">
        <f>ROUND((M381*I377+1.3*M381*K377+S381*H377),4)</f>
        <v>231.6225</v>
      </c>
      <c r="W381" s="48">
        <f>ROUND((L381*J377+1.3*L381*N377+S381*G377),4)</f>
        <v>12.75</v>
      </c>
      <c r="X381" s="48">
        <f>ROUND((M381*0.9*J377+1.3*M381*0.9*N377+S381*G377),4)</f>
        <v>16.881</v>
      </c>
      <c r="Y381" s="48">
        <f>ROUND((M381*J377+1.3*M381*N377+S381*G377),4)</f>
        <v>18.690000000000001</v>
      </c>
      <c r="Z381" s="49">
        <f>ROUND((P377*T381*F377*O377/1000000),4)</f>
        <v>2.8400000000000002E-2</v>
      </c>
      <c r="AA381" s="49">
        <f>ROUND((Q377*U381*F377*O377/1000000),4)</f>
        <v>1.8800000000000001E-2</v>
      </c>
      <c r="AB381" s="49">
        <f>ROUND((R377*V381*F377*O377/1000000),4)</f>
        <v>6.8999999999999999E-3</v>
      </c>
      <c r="AC381" s="50" t="s">
        <v>250</v>
      </c>
      <c r="AD381" s="51" t="s">
        <v>208</v>
      </c>
      <c r="AE381" s="44">
        <f>ROUND((((X381*E377)/1800)),4)</f>
        <v>9.4000000000000004E-3</v>
      </c>
      <c r="AF381" s="44">
        <f>ROUND(((Z381+AA381+AB381)),4)</f>
        <v>5.4100000000000002E-2</v>
      </c>
    </row>
    <row r="382" spans="1:34" ht="12.95" customHeight="1" x14ac:dyDescent="0.25">
      <c r="A382" s="63"/>
      <c r="B382" s="72"/>
      <c r="C382" s="62"/>
      <c r="D382" s="56"/>
      <c r="E382" s="56"/>
      <c r="F382" s="56"/>
      <c r="G382" s="56"/>
      <c r="H382" s="56"/>
      <c r="I382" s="56"/>
      <c r="J382" s="56"/>
      <c r="K382" s="56"/>
      <c r="L382" s="59">
        <v>2.09</v>
      </c>
      <c r="M382" s="59">
        <v>2.5499999999999998</v>
      </c>
      <c r="N382" s="56"/>
      <c r="O382" s="56"/>
      <c r="P382" s="66"/>
      <c r="Q382" s="66"/>
      <c r="R382" s="66"/>
      <c r="S382" s="61">
        <v>3.91</v>
      </c>
      <c r="T382" s="48">
        <f>ROUND((L382*I377+1.3*L382*K377+S382*H377),4)</f>
        <v>938.40750000000003</v>
      </c>
      <c r="U382" s="48">
        <f>ROUND((M382*0.9*I377+1.3*M382*0.9*K377+S382*H377),4)</f>
        <v>1007.4413</v>
      </c>
      <c r="V382" s="48">
        <f>ROUND((M382*I377+1.3*M382*K377+S382*H377),4)</f>
        <v>1093.3125</v>
      </c>
      <c r="W382" s="48">
        <f>ROUND((L382*J377+1.3*L382*N377+S382*G377),4)</f>
        <v>79.89</v>
      </c>
      <c r="X382" s="48">
        <f>ROUND((M382*0.9*J377+1.3*M382*0.9*N377+S382*G377),4)</f>
        <v>85.424999999999997</v>
      </c>
      <c r="Y382" s="48">
        <f>ROUND((M382*J377+1.3*M382*N377+S382*G377),4)</f>
        <v>92.31</v>
      </c>
      <c r="Z382" s="49">
        <f>ROUND((P377*T382*F377*O377/1000000),4)</f>
        <v>0.16889999999999999</v>
      </c>
      <c r="AA382" s="49">
        <f>ROUND((Q377*U382*F377*O377/1000000),4)</f>
        <v>9.0700000000000003E-2</v>
      </c>
      <c r="AB382" s="49">
        <f>ROUND((R377*V382*F377*O377/1000000),4)</f>
        <v>3.2800000000000003E-2</v>
      </c>
      <c r="AC382" s="50" t="s">
        <v>170</v>
      </c>
      <c r="AD382" s="51" t="s">
        <v>162</v>
      </c>
      <c r="AE382" s="44">
        <f>ROUND((((X382*E377)/1800)),4)</f>
        <v>4.7500000000000001E-2</v>
      </c>
      <c r="AF382" s="44">
        <f>ROUND(((Z382+AA382+AB382)),4)</f>
        <v>0.29239999999999999</v>
      </c>
    </row>
    <row r="383" spans="1:34" ht="12.95" customHeight="1" x14ac:dyDescent="0.25">
      <c r="A383" s="52"/>
      <c r="B383" s="46" t="s">
        <v>211</v>
      </c>
      <c r="C383" s="46">
        <v>6</v>
      </c>
      <c r="D383" s="45" t="s">
        <v>210</v>
      </c>
      <c r="E383" s="45">
        <v>1</v>
      </c>
      <c r="F383" s="45">
        <v>1</v>
      </c>
      <c r="G383" s="45">
        <v>6</v>
      </c>
      <c r="H383" s="45">
        <v>60</v>
      </c>
      <c r="I383" s="45">
        <f>(8-1-0.75*2)*60*F383-K383-8*0.12*60</f>
        <v>57.900000000000006</v>
      </c>
      <c r="J383" s="45">
        <v>14</v>
      </c>
      <c r="K383" s="45">
        <f>(8-1-0.75*2)*0.65*60*F383</f>
        <v>214.5</v>
      </c>
      <c r="L383" s="48">
        <v>6.47</v>
      </c>
      <c r="M383" s="48">
        <v>6.47</v>
      </c>
      <c r="N383" s="45">
        <v>10</v>
      </c>
      <c r="O383" s="45">
        <f>E383/F383</f>
        <v>1</v>
      </c>
      <c r="P383" s="45">
        <v>180</v>
      </c>
      <c r="Q383" s="45">
        <v>90</v>
      </c>
      <c r="R383" s="47">
        <v>30</v>
      </c>
      <c r="S383" s="47">
        <v>1.27</v>
      </c>
      <c r="T383" s="48">
        <f>ROUND((L383*I383+1.3*L383*K383+S383*H383),4)</f>
        <v>2254.9724999999999</v>
      </c>
      <c r="U383" s="48">
        <f>ROUND((M383*I383+1.3*M383*K383+S383*H383),4)</f>
        <v>2254.9724999999999</v>
      </c>
      <c r="V383" s="48">
        <f>ROUND((M383*I383+1.3*M383*K383+S383*H383),4)</f>
        <v>2254.9724999999999</v>
      </c>
      <c r="W383" s="48">
        <f>ROUND((L383*J383+1.3*L383*N383+S383*G383),4)</f>
        <v>182.31</v>
      </c>
      <c r="X383" s="48">
        <f>ROUND((M383*J383+1.3*M383*N383+S383*G383),4)</f>
        <v>182.31</v>
      </c>
      <c r="Y383" s="48">
        <f>ROUND((M383*J383+1.3*M383*N383+S383*G383),4)</f>
        <v>182.31</v>
      </c>
      <c r="Z383" s="49">
        <f>ROUND((P383*T383*F383*O383/1000000),4)</f>
        <v>0.40589999999999998</v>
      </c>
      <c r="AA383" s="49">
        <f>ROUND((Q383*U383*F383*O383/1000000),4)</f>
        <v>0.2029</v>
      </c>
      <c r="AB383" s="49">
        <f>ROUND((R383*V383*F383*O383/1000000),4)</f>
        <v>6.7599999999999993E-2</v>
      </c>
      <c r="AC383" s="50" t="s">
        <v>200</v>
      </c>
      <c r="AD383" s="51" t="s">
        <v>153</v>
      </c>
      <c r="AE383" s="44">
        <f>ROUND((((X383*E383)/1800)*0.8),4)</f>
        <v>8.1000000000000003E-2</v>
      </c>
      <c r="AF383" s="44">
        <f>ROUND(((Z383+AA383+AB383)*0.8),4)</f>
        <v>0.54110000000000003</v>
      </c>
    </row>
    <row r="384" spans="1:34" ht="12.95" customHeight="1" x14ac:dyDescent="0.25">
      <c r="A384" s="52"/>
      <c r="B384" s="53" t="s">
        <v>213</v>
      </c>
      <c r="C384" s="52"/>
      <c r="D384" s="52"/>
      <c r="E384" s="63"/>
      <c r="F384" s="63"/>
      <c r="G384" s="52"/>
      <c r="H384" s="52"/>
      <c r="I384" s="52"/>
      <c r="J384" s="52"/>
      <c r="K384" s="52"/>
      <c r="L384" s="56"/>
      <c r="M384" s="56"/>
      <c r="N384" s="52"/>
      <c r="O384" s="52"/>
      <c r="P384" s="63"/>
      <c r="Q384" s="63"/>
      <c r="R384" s="63"/>
      <c r="S384" s="57"/>
      <c r="T384" s="54"/>
      <c r="U384" s="54"/>
      <c r="V384" s="54"/>
      <c r="W384" s="54"/>
      <c r="X384" s="54"/>
      <c r="Y384" s="54"/>
      <c r="Z384" s="54"/>
      <c r="AA384" s="54"/>
      <c r="AB384" s="54"/>
      <c r="AC384" s="50" t="s">
        <v>201</v>
      </c>
      <c r="AD384" s="51" t="s">
        <v>202</v>
      </c>
      <c r="AE384" s="44">
        <f>ROUND((((X383*E383)/1800)*0.13),4)</f>
        <v>1.32E-2</v>
      </c>
      <c r="AF384" s="44">
        <f>ROUND(((Z383+AA383+AB383)*0.13),4)</f>
        <v>8.7900000000000006E-2</v>
      </c>
    </row>
    <row r="385" spans="1:32" ht="12.95" customHeight="1" x14ac:dyDescent="0.25">
      <c r="A385" s="52"/>
      <c r="B385" s="98"/>
      <c r="C385" s="55"/>
      <c r="D385" s="55"/>
      <c r="E385" s="63"/>
      <c r="F385" s="63"/>
      <c r="G385" s="52"/>
      <c r="H385" s="52"/>
      <c r="I385" s="52"/>
      <c r="J385" s="52"/>
      <c r="K385" s="52"/>
      <c r="L385" s="59">
        <v>0.51</v>
      </c>
      <c r="M385" s="59">
        <v>0.63</v>
      </c>
      <c r="N385" s="52"/>
      <c r="O385" s="52"/>
      <c r="P385" s="63"/>
      <c r="Q385" s="63"/>
      <c r="R385" s="63"/>
      <c r="S385" s="60">
        <v>0.25</v>
      </c>
      <c r="T385" s="48">
        <f>ROUND((L385*I383+1.3*L385*K383+S385*H383),4)</f>
        <v>186.74250000000001</v>
      </c>
      <c r="U385" s="48">
        <f>ROUND((M385*0.9*I383+1.3*M385*0.9*K383+S385*H383),4)</f>
        <v>205.93729999999999</v>
      </c>
      <c r="V385" s="48">
        <f>ROUND((M385*I383+1.3*M385*K383+S385*H383),4)</f>
        <v>227.1525</v>
      </c>
      <c r="W385" s="48">
        <f>ROUND((L385*J383+1.3*L385*N383+S385*G383),4)</f>
        <v>15.27</v>
      </c>
      <c r="X385" s="48">
        <f>ROUND((M385*0.9*J383+1.3*M385*0.9*N383+S385*G383),4)</f>
        <v>16.809000000000001</v>
      </c>
      <c r="Y385" s="48">
        <f>ROUND((M385*J383+1.3*M385*N383+S385*G383),4)</f>
        <v>18.510000000000002</v>
      </c>
      <c r="Z385" s="49">
        <f>ROUND((P383*T385*F383*O383/1000000),4)</f>
        <v>3.3599999999999998E-2</v>
      </c>
      <c r="AA385" s="49">
        <f>ROUND((Q383*U385*F383*O383/1000000),4)</f>
        <v>1.8499999999999999E-2</v>
      </c>
      <c r="AB385" s="49">
        <f>ROUND((R383*V385*F383*O383/1000000),4)</f>
        <v>6.7999999999999996E-3</v>
      </c>
      <c r="AC385" s="50" t="s">
        <v>203</v>
      </c>
      <c r="AD385" s="51" t="s">
        <v>204</v>
      </c>
      <c r="AE385" s="44">
        <f>ROUND((((X385*E383)/1800)),4)</f>
        <v>9.2999999999999992E-3</v>
      </c>
      <c r="AF385" s="44">
        <f>ROUND(((Z385+AA385+AB385)),5)</f>
        <v>5.8900000000000001E-2</v>
      </c>
    </row>
    <row r="386" spans="1:32" ht="12.95" customHeight="1" x14ac:dyDescent="0.25">
      <c r="A386" s="52"/>
      <c r="B386" s="53"/>
      <c r="C386" s="52"/>
      <c r="D386" s="52"/>
      <c r="E386" s="63"/>
      <c r="F386" s="63"/>
      <c r="G386" s="52"/>
      <c r="H386" s="52"/>
      <c r="I386" s="52"/>
      <c r="J386" s="52"/>
      <c r="K386" s="52"/>
      <c r="L386" s="59">
        <v>1.1399999999999999</v>
      </c>
      <c r="M386" s="59">
        <v>1.37</v>
      </c>
      <c r="N386" s="52"/>
      <c r="O386" s="52"/>
      <c r="P386" s="63"/>
      <c r="Q386" s="63"/>
      <c r="R386" s="63"/>
      <c r="S386" s="61">
        <v>0.79</v>
      </c>
      <c r="T386" s="48">
        <f>ROUND((L386*I383+1.3*L386*K383+S386*H383),4)</f>
        <v>431.29500000000002</v>
      </c>
      <c r="U386" s="48">
        <f>ROUND((M386*0.9*I383+1.3*M386*0.9*K383+S386*H383),4)</f>
        <v>462.61279999999999</v>
      </c>
      <c r="V386" s="48">
        <f>ROUND((M386*I383+1.3*M386*K383+S386*H383),4)</f>
        <v>508.7475</v>
      </c>
      <c r="W386" s="48">
        <f>ROUND((L386*J383+1.3*L386*N383+S386*G383),4)</f>
        <v>35.520000000000003</v>
      </c>
      <c r="X386" s="48">
        <f>ROUND((M386*0.9*J383+1.3*M386*0.9*N383+S386*G383),4)</f>
        <v>38.030999999999999</v>
      </c>
      <c r="Y386" s="48">
        <f>ROUND((M386*J383+1.3*N383+S386*G383),4)</f>
        <v>36.92</v>
      </c>
      <c r="Z386" s="49">
        <f>ROUND((P383*T386*F383*O383/1000000),4)</f>
        <v>7.7600000000000002E-2</v>
      </c>
      <c r="AA386" s="49">
        <f>ROUND((Q383*U386*F383*O383/1000000),4)</f>
        <v>4.1599999999999998E-2</v>
      </c>
      <c r="AB386" s="49">
        <f>ROUND((R383*V386*F383*O383/1000000),4)</f>
        <v>1.5299999999999999E-2</v>
      </c>
      <c r="AC386" s="50" t="s">
        <v>205</v>
      </c>
      <c r="AD386" s="51" t="s">
        <v>206</v>
      </c>
      <c r="AE386" s="44">
        <f>ROUND((((X386*E383)/1800)),4)</f>
        <v>2.1100000000000001E-2</v>
      </c>
      <c r="AF386" s="44">
        <f>ROUND(((Z386+AA386+AB386)),4)</f>
        <v>0.13450000000000001</v>
      </c>
    </row>
    <row r="387" spans="1:32" ht="12.95" customHeight="1" x14ac:dyDescent="0.25">
      <c r="A387" s="52"/>
      <c r="B387" s="53"/>
      <c r="C387" s="52"/>
      <c r="D387" s="52"/>
      <c r="E387" s="63"/>
      <c r="F387" s="63"/>
      <c r="G387" s="52"/>
      <c r="H387" s="52"/>
      <c r="I387" s="52"/>
      <c r="J387" s="52"/>
      <c r="K387" s="52"/>
      <c r="L387" s="59">
        <v>0.72</v>
      </c>
      <c r="M387" s="59">
        <v>1.08</v>
      </c>
      <c r="N387" s="52"/>
      <c r="O387" s="52"/>
      <c r="P387" s="63"/>
      <c r="Q387" s="63"/>
      <c r="R387" s="63"/>
      <c r="S387" s="61">
        <v>0.17</v>
      </c>
      <c r="T387" s="48">
        <f>ROUND((L387*I383+1.3*L387*K383+S387*H383),4)</f>
        <v>252.66</v>
      </c>
      <c r="U387" s="48">
        <f>ROUND((M387*0.9*I383+1.3*M387*0.9*K383+S387*H383),4)</f>
        <v>337.52100000000002</v>
      </c>
      <c r="V387" s="48">
        <f>ROUND((M387*I383+1.3*M387*K383+S387*H383),4)</f>
        <v>373.89</v>
      </c>
      <c r="W387" s="48">
        <f>ROUND((L387*J383+1.3*L387*N383+S387*G383),4)</f>
        <v>20.46</v>
      </c>
      <c r="X387" s="48">
        <f>ROUND((M387*0.9*J383+1.3*M387*0.9*N383+S387*G383),4)</f>
        <v>27.263999999999999</v>
      </c>
      <c r="Y387" s="48">
        <f>ROUND((M387*J383+1.3*M387*N383+S387*G383),4)</f>
        <v>30.18</v>
      </c>
      <c r="Z387" s="49">
        <f>ROUND((P383*T387*F383*O383/1000000),4)</f>
        <v>4.5499999999999999E-2</v>
      </c>
      <c r="AA387" s="49">
        <f>ROUND((Q383*U387*F383*O383/1000000),4)</f>
        <v>3.04E-2</v>
      </c>
      <c r="AB387" s="49">
        <f>ROUND((R383*V387*F383*O383/1000000),4)</f>
        <v>1.12E-2</v>
      </c>
      <c r="AC387" s="50" t="s">
        <v>250</v>
      </c>
      <c r="AD387" s="51" t="s">
        <v>208</v>
      </c>
      <c r="AE387" s="44">
        <f>ROUND((((X387*E383)/1800)),4)</f>
        <v>1.5100000000000001E-2</v>
      </c>
      <c r="AF387" s="44">
        <f>ROUND(((Z387+AA387+AB387)),4)</f>
        <v>8.7099999999999997E-2</v>
      </c>
    </row>
    <row r="388" spans="1:32" ht="12.95" customHeight="1" x14ac:dyDescent="0.25">
      <c r="A388" s="52"/>
      <c r="B388" s="62"/>
      <c r="C388" s="56"/>
      <c r="D388" s="56"/>
      <c r="E388" s="66"/>
      <c r="F388" s="66"/>
      <c r="G388" s="56"/>
      <c r="H388" s="56"/>
      <c r="I388" s="56"/>
      <c r="J388" s="56"/>
      <c r="K388" s="56"/>
      <c r="L388" s="59">
        <v>3.37</v>
      </c>
      <c r="M388" s="59">
        <v>4.1100000000000003</v>
      </c>
      <c r="N388" s="56"/>
      <c r="O388" s="56"/>
      <c r="P388" s="66"/>
      <c r="Q388" s="66"/>
      <c r="R388" s="66"/>
      <c r="S388" s="61">
        <v>6.31</v>
      </c>
      <c r="T388" s="48">
        <f>ROUND((L388*I383+1.3*L388*K383+S388*H383),4)</f>
        <v>1513.4475</v>
      </c>
      <c r="U388" s="48">
        <f>ROUND((M388*0.9*I383+1.3*M388*0.9*K383+S388*H383),4)</f>
        <v>1624.2383</v>
      </c>
      <c r="V388" s="48">
        <f>ROUND((M388*I383+1.3*M388*K383+S388*H383),4)</f>
        <v>1762.6424999999999</v>
      </c>
      <c r="W388" s="48">
        <f>ROUND((L388*J383+1.3*L388*N383+S388*G383),4)</f>
        <v>128.85</v>
      </c>
      <c r="X388" s="48">
        <f>ROUND((M388*0.9*J383+1.3*M388*0.9*N383+S388*G383),4)</f>
        <v>137.733</v>
      </c>
      <c r="Y388" s="48">
        <f>ROUND((M388*J383+1.3*M388*N383+S388*G383),4)</f>
        <v>148.83000000000001</v>
      </c>
      <c r="Z388" s="49">
        <f>ROUND((P383*T388*F383*O383/1000000),4)</f>
        <v>0.27239999999999998</v>
      </c>
      <c r="AA388" s="49">
        <f>ROUND((Q383*U388*F383*O383/1000000),4)</f>
        <v>0.1462</v>
      </c>
      <c r="AB388" s="49">
        <f>ROUND((R383*V388*F383*O383/1000000),4)</f>
        <v>5.2900000000000003E-2</v>
      </c>
      <c r="AC388" s="50" t="s">
        <v>170</v>
      </c>
      <c r="AD388" s="51" t="s">
        <v>162</v>
      </c>
      <c r="AE388" s="44">
        <f>ROUND((((X388*E383)/1800)),4)</f>
        <v>7.6499999999999999E-2</v>
      </c>
      <c r="AF388" s="44">
        <f>ROUND(((Z388+AA388+AB388)),4)</f>
        <v>0.47149999999999997</v>
      </c>
    </row>
    <row r="389" spans="1:32" ht="12.95" customHeight="1" x14ac:dyDescent="0.25">
      <c r="A389" s="52"/>
      <c r="B389" s="67" t="s">
        <v>214</v>
      </c>
      <c r="C389" s="46">
        <v>6</v>
      </c>
      <c r="D389" s="45" t="s">
        <v>210</v>
      </c>
      <c r="E389" s="45">
        <v>1</v>
      </c>
      <c r="F389" s="45">
        <v>1</v>
      </c>
      <c r="G389" s="45">
        <v>6</v>
      </c>
      <c r="H389" s="45">
        <v>60</v>
      </c>
      <c r="I389" s="45">
        <f>(8-1-0.75*2)*60*F389-K389-8*0.12*60</f>
        <v>57.900000000000006</v>
      </c>
      <c r="J389" s="45">
        <v>14</v>
      </c>
      <c r="K389" s="45">
        <f>(8-1-0.75*2)*0.65*60*F389</f>
        <v>214.5</v>
      </c>
      <c r="L389" s="48">
        <v>6.47</v>
      </c>
      <c r="M389" s="48">
        <v>6.47</v>
      </c>
      <c r="N389" s="45">
        <v>10</v>
      </c>
      <c r="O389" s="45">
        <f>E389/F389</f>
        <v>1</v>
      </c>
      <c r="P389" s="45">
        <v>180</v>
      </c>
      <c r="Q389" s="45">
        <v>60</v>
      </c>
      <c r="R389" s="47">
        <v>30</v>
      </c>
      <c r="S389" s="47">
        <v>1.27</v>
      </c>
      <c r="T389" s="48">
        <f>ROUND((L389*I389+1.3*L389*K389+S389*H389),4)</f>
        <v>2254.9724999999999</v>
      </c>
      <c r="U389" s="48">
        <f>ROUND((M389*I389+1.3*M389*K389+S389*H389),4)</f>
        <v>2254.9724999999999</v>
      </c>
      <c r="V389" s="48">
        <f>ROUND((M389*I389+1.3*M389*K389+S389*H389),4)</f>
        <v>2254.9724999999999</v>
      </c>
      <c r="W389" s="48">
        <f>ROUND((L389*J389+1.3*L389*N389+S389*G389),4)</f>
        <v>182.31</v>
      </c>
      <c r="X389" s="48">
        <f>ROUND((M389*J389+1.3*M389*N389+S389*G389),4)</f>
        <v>182.31</v>
      </c>
      <c r="Y389" s="48">
        <f>ROUND((M389*J389+1.3*M389*N389+S389*G389),4)</f>
        <v>182.31</v>
      </c>
      <c r="Z389" s="49">
        <f>ROUND((P389*T389*F389*O389/1000000),4)</f>
        <v>0.40589999999999998</v>
      </c>
      <c r="AA389" s="49">
        <f>ROUND((Q389*U389*F389*O389/1000000),4)</f>
        <v>0.1353</v>
      </c>
      <c r="AB389" s="49">
        <f>ROUND((R389*V389*F389*O389/1000000),4)</f>
        <v>6.7599999999999993E-2</v>
      </c>
      <c r="AC389" s="50" t="s">
        <v>200</v>
      </c>
      <c r="AD389" s="51" t="s">
        <v>153</v>
      </c>
      <c r="AE389" s="44">
        <f>ROUND((((X389*E389)/1800)*0.8),4)</f>
        <v>8.1000000000000003E-2</v>
      </c>
      <c r="AF389" s="44">
        <f>ROUND(((Z389+AA389+AB389)*0.8),4)</f>
        <v>0.48699999999999999</v>
      </c>
    </row>
    <row r="390" spans="1:32" ht="12.95" customHeight="1" x14ac:dyDescent="0.25">
      <c r="A390" s="52"/>
      <c r="B390" s="53" t="s">
        <v>215</v>
      </c>
      <c r="C390" s="52"/>
      <c r="D390" s="52"/>
      <c r="E390" s="52"/>
      <c r="F390" s="52"/>
      <c r="G390" s="52"/>
      <c r="H390" s="52"/>
      <c r="I390" s="52"/>
      <c r="J390" s="52"/>
      <c r="K390" s="52"/>
      <c r="L390" s="56"/>
      <c r="M390" s="56"/>
      <c r="N390" s="52"/>
      <c r="O390" s="52"/>
      <c r="P390" s="63"/>
      <c r="Q390" s="63"/>
      <c r="R390" s="52"/>
      <c r="S390" s="57"/>
      <c r="T390" s="54"/>
      <c r="U390" s="54"/>
      <c r="V390" s="54"/>
      <c r="W390" s="54"/>
      <c r="X390" s="54"/>
      <c r="Y390" s="54"/>
      <c r="Z390" s="54"/>
      <c r="AA390" s="54"/>
      <c r="AB390" s="54"/>
      <c r="AC390" s="50" t="s">
        <v>201</v>
      </c>
      <c r="AD390" s="51" t="s">
        <v>202</v>
      </c>
      <c r="AE390" s="44">
        <f>ROUND((((X389*E389)/1800)*0.13),4)</f>
        <v>1.32E-2</v>
      </c>
      <c r="AF390" s="44">
        <f>ROUND(((Z389+AA389+AB389)*0.13),4)</f>
        <v>7.9100000000000004E-2</v>
      </c>
    </row>
    <row r="391" spans="1:32" ht="12.95" customHeight="1" x14ac:dyDescent="0.25">
      <c r="A391" s="52"/>
      <c r="B391" s="88"/>
      <c r="C391" s="55"/>
      <c r="D391" s="55"/>
      <c r="E391" s="52"/>
      <c r="F391" s="52"/>
      <c r="G391" s="52"/>
      <c r="H391" s="52"/>
      <c r="I391" s="52"/>
      <c r="J391" s="52"/>
      <c r="K391" s="52"/>
      <c r="L391" s="59">
        <v>0.51</v>
      </c>
      <c r="M391" s="59">
        <v>0.63</v>
      </c>
      <c r="N391" s="52"/>
      <c r="O391" s="52"/>
      <c r="P391" s="63"/>
      <c r="Q391" s="63"/>
      <c r="R391" s="52"/>
      <c r="S391" s="60">
        <v>0.25</v>
      </c>
      <c r="T391" s="48">
        <f>ROUND((L391*I389+1.3*L391*K389+S391*H389),4)</f>
        <v>186.74250000000001</v>
      </c>
      <c r="U391" s="48">
        <f>ROUND((M391*0.9*I389+1.3*M391*0.9*K389+S391*H389),4)</f>
        <v>205.93729999999999</v>
      </c>
      <c r="V391" s="48">
        <f>ROUND((M391*I389+1.3*M391*K389+S391*H389),4)</f>
        <v>227.1525</v>
      </c>
      <c r="W391" s="48">
        <f>ROUND((L391*J389+1.3*L391*N389+S391*G389),4)</f>
        <v>15.27</v>
      </c>
      <c r="X391" s="48">
        <f>ROUND((M391*0.9*J389+1.3*M391*0.9*N389+S391*G389),4)</f>
        <v>16.809000000000001</v>
      </c>
      <c r="Y391" s="48">
        <f>ROUND((M391*J389+1.3*M391*N389+S391*G389),4)</f>
        <v>18.510000000000002</v>
      </c>
      <c r="Z391" s="49">
        <f>ROUND((P389*T391*F389*O389/1000000),4)</f>
        <v>3.3599999999999998E-2</v>
      </c>
      <c r="AA391" s="49">
        <f>ROUND((Q389*U391*F389*O389/1000000),4)</f>
        <v>1.24E-2</v>
      </c>
      <c r="AB391" s="49">
        <f>ROUND((R389*V391*F389*O389/1000000),4)</f>
        <v>6.7999999999999996E-3</v>
      </c>
      <c r="AC391" s="50" t="s">
        <v>203</v>
      </c>
      <c r="AD391" s="51" t="s">
        <v>204</v>
      </c>
      <c r="AE391" s="44">
        <f>ROUND((((X391*E389)/1800)),4)</f>
        <v>9.2999999999999992E-3</v>
      </c>
      <c r="AF391" s="44">
        <f>ROUND(((Z391+AA391+AB391)),5)</f>
        <v>5.28E-2</v>
      </c>
    </row>
    <row r="392" spans="1:32" ht="12.95" customHeight="1" x14ac:dyDescent="0.25">
      <c r="A392" s="52"/>
      <c r="B392" s="88"/>
      <c r="C392" s="52"/>
      <c r="D392" s="52"/>
      <c r="E392" s="52"/>
      <c r="F392" s="52"/>
      <c r="G392" s="52"/>
      <c r="H392" s="52"/>
      <c r="I392" s="52"/>
      <c r="J392" s="52"/>
      <c r="K392" s="52"/>
      <c r="L392" s="59">
        <v>1.1399999999999999</v>
      </c>
      <c r="M392" s="59">
        <v>1.37</v>
      </c>
      <c r="N392" s="52"/>
      <c r="O392" s="52"/>
      <c r="P392" s="63"/>
      <c r="Q392" s="63"/>
      <c r="R392" s="52"/>
      <c r="S392" s="61">
        <v>0.79</v>
      </c>
      <c r="T392" s="48">
        <f>ROUND((L392*I389+1.3*L392*K389+S392*H389),4)</f>
        <v>431.29500000000002</v>
      </c>
      <c r="U392" s="48">
        <f>ROUND((M392*0.9*I389+1.3*M392*0.9*K389+S392*H389),4)</f>
        <v>462.61279999999999</v>
      </c>
      <c r="V392" s="48">
        <f>ROUND((M392*I389+1.3*M392*K389+S392*H389),4)</f>
        <v>508.7475</v>
      </c>
      <c r="W392" s="48">
        <f>ROUND((L392*J389+1.3*L392*N389+S392*G389),4)</f>
        <v>35.520000000000003</v>
      </c>
      <c r="X392" s="48">
        <f>ROUND((M392*0.9*J389+1.3*M392*0.9*N389+S392*G389),4)</f>
        <v>38.030999999999999</v>
      </c>
      <c r="Y392" s="48">
        <f>ROUND((M392*J389+1.3*N389+S392*G389),4)</f>
        <v>36.92</v>
      </c>
      <c r="Z392" s="49">
        <f>ROUND((P389*T392*F389*O389/1000000),4)</f>
        <v>7.7600000000000002E-2</v>
      </c>
      <c r="AA392" s="49">
        <f>ROUND((Q389*U392*F389*O389/1000000),4)</f>
        <v>2.7799999999999998E-2</v>
      </c>
      <c r="AB392" s="49">
        <f>ROUND((R389*V392*F389*O389/1000000),4)</f>
        <v>1.5299999999999999E-2</v>
      </c>
      <c r="AC392" s="50" t="s">
        <v>205</v>
      </c>
      <c r="AD392" s="51" t="s">
        <v>206</v>
      </c>
      <c r="AE392" s="44">
        <f>ROUND((((X392*E389)/1800)),4)</f>
        <v>2.1100000000000001E-2</v>
      </c>
      <c r="AF392" s="44">
        <f>ROUND(((Z392+AA392+AB392)),4)</f>
        <v>0.1207</v>
      </c>
    </row>
    <row r="393" spans="1:32" ht="12.95" customHeight="1" x14ac:dyDescent="0.25">
      <c r="A393" s="52"/>
      <c r="B393" s="53"/>
      <c r="C393" s="52"/>
      <c r="D393" s="52"/>
      <c r="E393" s="52"/>
      <c r="F393" s="52"/>
      <c r="G393" s="52"/>
      <c r="H393" s="52"/>
      <c r="I393" s="52"/>
      <c r="J393" s="52"/>
      <c r="K393" s="52"/>
      <c r="L393" s="59">
        <v>0.72</v>
      </c>
      <c r="M393" s="59">
        <v>1.08</v>
      </c>
      <c r="N393" s="52"/>
      <c r="O393" s="52"/>
      <c r="P393" s="63"/>
      <c r="Q393" s="63"/>
      <c r="R393" s="52"/>
      <c r="S393" s="61">
        <v>0.17</v>
      </c>
      <c r="T393" s="48">
        <f>ROUND((L393*I389+1.3*L393*K389+S393*H389),4)</f>
        <v>252.66</v>
      </c>
      <c r="U393" s="48">
        <f>ROUND((M393*0.9*I389+1.3*M393*0.9*K389+S393*H389),4)</f>
        <v>337.52100000000002</v>
      </c>
      <c r="V393" s="48">
        <f>ROUND((M393*I389+1.3*M393*K389+S393*H389),4)</f>
        <v>373.89</v>
      </c>
      <c r="W393" s="48">
        <f>ROUND((L393*J389+1.3*L393*N389+S393*G389),4)</f>
        <v>20.46</v>
      </c>
      <c r="X393" s="48">
        <f>ROUND((M393*0.9*J389+1.3*M393*0.9*N389+S393*G389),4)</f>
        <v>27.263999999999999</v>
      </c>
      <c r="Y393" s="48">
        <f>ROUND((M393*J389+1.3*M393*N389+S393*G389),4)</f>
        <v>30.18</v>
      </c>
      <c r="Z393" s="49">
        <f>ROUND((P389*T393*F389*O389/1000000),4)</f>
        <v>4.5499999999999999E-2</v>
      </c>
      <c r="AA393" s="49">
        <f>ROUND((Q389*U393*F389*O389/1000000),4)</f>
        <v>2.0299999999999999E-2</v>
      </c>
      <c r="AB393" s="49">
        <f>ROUND((R389*V393*F389*O389/1000000),4)</f>
        <v>1.12E-2</v>
      </c>
      <c r="AC393" s="50" t="s">
        <v>250</v>
      </c>
      <c r="AD393" s="51" t="s">
        <v>208</v>
      </c>
      <c r="AE393" s="44">
        <f>ROUND((((X393*E389)/1800)),4)</f>
        <v>1.5100000000000001E-2</v>
      </c>
      <c r="AF393" s="44">
        <f>ROUND(((Z393+AA393+AB393)),4)</f>
        <v>7.6999999999999999E-2</v>
      </c>
    </row>
    <row r="394" spans="1:32" ht="12.95" customHeight="1" x14ac:dyDescent="0.25">
      <c r="A394" s="52"/>
      <c r="B394" s="62"/>
      <c r="C394" s="56"/>
      <c r="D394" s="56"/>
      <c r="E394" s="56"/>
      <c r="F394" s="56"/>
      <c r="G394" s="56"/>
      <c r="H394" s="56"/>
      <c r="I394" s="56"/>
      <c r="J394" s="56"/>
      <c r="K394" s="56"/>
      <c r="L394" s="59">
        <v>3.37</v>
      </c>
      <c r="M394" s="59">
        <v>4.1100000000000003</v>
      </c>
      <c r="N394" s="56"/>
      <c r="O394" s="56"/>
      <c r="P394" s="66"/>
      <c r="Q394" s="66"/>
      <c r="R394" s="56"/>
      <c r="S394" s="61">
        <v>6.31</v>
      </c>
      <c r="T394" s="48">
        <f>ROUND((L394*I389+1.3*L394*K389+S394*H389),4)</f>
        <v>1513.4475</v>
      </c>
      <c r="U394" s="48">
        <f>ROUND((M394*0.9*I389+1.3*M394*0.9*K389+S394*H389),4)</f>
        <v>1624.2383</v>
      </c>
      <c r="V394" s="48">
        <f>ROUND((M394*I389+1.3*M394*K389+S394*H389),4)</f>
        <v>1762.6424999999999</v>
      </c>
      <c r="W394" s="48">
        <f>ROUND((L394*J389+1.3*L394*N389+S394*G389),4)</f>
        <v>128.85</v>
      </c>
      <c r="X394" s="48">
        <f>ROUND((M394*0.9*J389+1.3*M394*0.9*N389+S394*G389),4)</f>
        <v>137.733</v>
      </c>
      <c r="Y394" s="48">
        <f>ROUND((M394*J389+1.3*M394*N389+S394*G389),4)</f>
        <v>148.83000000000001</v>
      </c>
      <c r="Z394" s="49">
        <f>ROUND((P389*T394*F389*O389/1000000),4)</f>
        <v>0.27239999999999998</v>
      </c>
      <c r="AA394" s="49">
        <f>ROUND((Q389*U394*F389*O389/1000000),4)</f>
        <v>9.7500000000000003E-2</v>
      </c>
      <c r="AB394" s="49">
        <f>ROUND((R389*V394*F389*O389/1000000),4)</f>
        <v>5.2900000000000003E-2</v>
      </c>
      <c r="AC394" s="50" t="s">
        <v>170</v>
      </c>
      <c r="AD394" s="51" t="s">
        <v>162</v>
      </c>
      <c r="AE394" s="44">
        <f>ROUND((((X394*E389)/1800)),4)</f>
        <v>7.6499999999999999E-2</v>
      </c>
      <c r="AF394" s="44">
        <f>ROUND(((Z394+AA394+AB394)),4)</f>
        <v>0.42280000000000001</v>
      </c>
    </row>
    <row r="395" spans="1:32" ht="12.95" customHeight="1" x14ac:dyDescent="0.25">
      <c r="A395" s="52"/>
      <c r="B395" s="67" t="s">
        <v>214</v>
      </c>
      <c r="C395" s="46">
        <v>7</v>
      </c>
      <c r="D395" s="45" t="s">
        <v>217</v>
      </c>
      <c r="E395" s="45">
        <v>1</v>
      </c>
      <c r="F395" s="45">
        <v>1</v>
      </c>
      <c r="G395" s="45">
        <v>6</v>
      </c>
      <c r="H395" s="45">
        <v>60</v>
      </c>
      <c r="I395" s="45">
        <f>(8-1-0.75*2)*60*F395-K395-8*0.12*60</f>
        <v>57.900000000000006</v>
      </c>
      <c r="J395" s="45">
        <v>14</v>
      </c>
      <c r="K395" s="45">
        <f>(8-1-0.75*2)*0.65*60*F395</f>
        <v>214.5</v>
      </c>
      <c r="L395" s="48">
        <v>10.16</v>
      </c>
      <c r="M395" s="48">
        <v>10.16</v>
      </c>
      <c r="N395" s="45">
        <v>10</v>
      </c>
      <c r="O395" s="45">
        <f>E395/F395</f>
        <v>1</v>
      </c>
      <c r="P395" s="45">
        <v>180</v>
      </c>
      <c r="Q395" s="45">
        <v>60</v>
      </c>
      <c r="R395" s="47">
        <v>30</v>
      </c>
      <c r="S395" s="47">
        <v>1.99</v>
      </c>
      <c r="T395" s="48">
        <f>ROUND((L395*I395+1.3*L395*K395+S395*H395),4)</f>
        <v>3540.78</v>
      </c>
      <c r="U395" s="48">
        <f>ROUND((M395*I395+1.3*M395*K395+S395*H395),4)</f>
        <v>3540.78</v>
      </c>
      <c r="V395" s="48">
        <f>ROUND((M395*I395+1.3*M395*K395+S395*H395),4)</f>
        <v>3540.78</v>
      </c>
      <c r="W395" s="48">
        <f>ROUND((L395*J395+1.3*L395*N395+S395*G395),4)</f>
        <v>286.26</v>
      </c>
      <c r="X395" s="48">
        <f>ROUND((M395*J395+1.3*M395*N395+S395*G395),4)</f>
        <v>286.26</v>
      </c>
      <c r="Y395" s="48">
        <f>ROUND((M395*J395+1.3*M395*N395+S395*G395),4)</f>
        <v>286.26</v>
      </c>
      <c r="Z395" s="49">
        <f>ROUND((P395*T395*F395*O395/1000000),4)</f>
        <v>0.63729999999999998</v>
      </c>
      <c r="AA395" s="49">
        <f>ROUND((Q395*U395*F395*O395/1000000),4)</f>
        <v>0.21240000000000001</v>
      </c>
      <c r="AB395" s="49">
        <f>ROUND((R395*V395*F395*O395/1000000),4)</f>
        <v>0.1062</v>
      </c>
      <c r="AC395" s="50" t="s">
        <v>200</v>
      </c>
      <c r="AD395" s="51" t="s">
        <v>153</v>
      </c>
      <c r="AE395" s="44">
        <f>ROUND((((X395*E395)/1800)*0.8),4)</f>
        <v>0.12720000000000001</v>
      </c>
      <c r="AF395" s="44">
        <f>ROUND(((Z395+AA395+AB395)*0.8),4)</f>
        <v>0.76470000000000005</v>
      </c>
    </row>
    <row r="396" spans="1:32" ht="12.95" customHeight="1" x14ac:dyDescent="0.25">
      <c r="A396" s="52"/>
      <c r="B396" s="53" t="s">
        <v>216</v>
      </c>
      <c r="C396" s="52"/>
      <c r="D396" s="52"/>
      <c r="E396" s="52"/>
      <c r="F396" s="52"/>
      <c r="G396" s="52"/>
      <c r="H396" s="52"/>
      <c r="I396" s="52"/>
      <c r="J396" s="52"/>
      <c r="K396" s="52"/>
      <c r="L396" s="56"/>
      <c r="M396" s="56"/>
      <c r="N396" s="52"/>
      <c r="O396" s="52"/>
      <c r="P396" s="52"/>
      <c r="Q396" s="52"/>
      <c r="R396" s="52"/>
      <c r="S396" s="57"/>
      <c r="T396" s="54"/>
      <c r="U396" s="54"/>
      <c r="V396" s="54"/>
      <c r="W396" s="54"/>
      <c r="X396" s="54"/>
      <c r="Y396" s="54"/>
      <c r="Z396" s="54"/>
      <c r="AA396" s="54"/>
      <c r="AB396" s="54"/>
      <c r="AC396" s="50" t="s">
        <v>201</v>
      </c>
      <c r="AD396" s="51" t="s">
        <v>202</v>
      </c>
      <c r="AE396" s="44">
        <f>ROUND((((X395*E395)/1800)*0.13),4)</f>
        <v>2.07E-2</v>
      </c>
      <c r="AF396" s="44">
        <f>ROUND(((Z395+AA395+AB395)*0.13),4)</f>
        <v>0.12429999999999999</v>
      </c>
    </row>
    <row r="397" spans="1:32" ht="12.95" customHeight="1" x14ac:dyDescent="0.25">
      <c r="A397" s="52"/>
      <c r="B397" s="88"/>
      <c r="C397" s="55"/>
      <c r="D397" s="55"/>
      <c r="E397" s="52"/>
      <c r="F397" s="63"/>
      <c r="G397" s="52"/>
      <c r="H397" s="52"/>
      <c r="I397" s="52"/>
      <c r="J397" s="52"/>
      <c r="K397" s="52"/>
      <c r="L397" s="59">
        <v>0.8</v>
      </c>
      <c r="M397" s="59">
        <v>0.98</v>
      </c>
      <c r="N397" s="52"/>
      <c r="O397" s="52"/>
      <c r="P397" s="52"/>
      <c r="Q397" s="52"/>
      <c r="R397" s="52"/>
      <c r="S397" s="60">
        <v>0.39</v>
      </c>
      <c r="T397" s="48">
        <f>ROUND((L397*I395+1.3*L397*K395+S397*H395),4)</f>
        <v>292.8</v>
      </c>
      <c r="U397" s="48">
        <f>ROUND((M397*0.9*I395+1.3*M397*0.9*K395+S397*H395),4)</f>
        <v>320.4135</v>
      </c>
      <c r="V397" s="48">
        <f>ROUND((M397*I395+1.3*M397*K395+S397*H395),4)</f>
        <v>353.41500000000002</v>
      </c>
      <c r="W397" s="48">
        <f>ROUND((L397*J395+1.3*L397*N395+S397*G395),4)</f>
        <v>23.94</v>
      </c>
      <c r="X397" s="48">
        <f>ROUND((M397*0.9*J395+1.3*M397*0.9*N395+S397*G395),4)</f>
        <v>26.154</v>
      </c>
      <c r="Y397" s="48">
        <f>ROUND((M397*J395+1.3*M397*N395+S397*G395),4)</f>
        <v>28.8</v>
      </c>
      <c r="Z397" s="49">
        <f>ROUND((P395*T397*F395*O395/1000000),4)</f>
        <v>5.2699999999999997E-2</v>
      </c>
      <c r="AA397" s="49">
        <f>ROUND((Q395*U397*F395*O395/1000000),4)</f>
        <v>1.9199999999999998E-2</v>
      </c>
      <c r="AB397" s="49">
        <f>ROUND((R395*V397*F395*O395/1000000),4)</f>
        <v>1.06E-2</v>
      </c>
      <c r="AC397" s="50" t="s">
        <v>203</v>
      </c>
      <c r="AD397" s="51" t="s">
        <v>204</v>
      </c>
      <c r="AE397" s="44">
        <f>ROUND((((X397*E395)/1800)),4)</f>
        <v>1.4500000000000001E-2</v>
      </c>
      <c r="AF397" s="44">
        <f>ROUND(((Z397+AA397+AB397)),5)</f>
        <v>8.2500000000000004E-2</v>
      </c>
    </row>
    <row r="398" spans="1:32" ht="12.95" customHeight="1" x14ac:dyDescent="0.25">
      <c r="A398" s="52"/>
      <c r="B398" s="88"/>
      <c r="C398" s="52"/>
      <c r="D398" s="52"/>
      <c r="E398" s="52"/>
      <c r="F398" s="63"/>
      <c r="G398" s="52"/>
      <c r="H398" s="52"/>
      <c r="I398" s="52"/>
      <c r="J398" s="52"/>
      <c r="K398" s="52"/>
      <c r="L398" s="59">
        <v>1.79</v>
      </c>
      <c r="M398" s="59">
        <v>2.15</v>
      </c>
      <c r="N398" s="52"/>
      <c r="O398" s="52"/>
      <c r="P398" s="52"/>
      <c r="Q398" s="52"/>
      <c r="R398" s="52"/>
      <c r="S398" s="61">
        <v>1.24</v>
      </c>
      <c r="T398" s="48">
        <f>ROUND((L398*I395+1.3*L398*K395+S398*H395),4)</f>
        <v>677.1825</v>
      </c>
      <c r="U398" s="48">
        <f>ROUND((M398*0.9*I395+1.3*M398*0.9*K395+S398*H395),4)</f>
        <v>726.01130000000001</v>
      </c>
      <c r="V398" s="48">
        <f>ROUND((M398*I395+1.3*M398*K395+S398*H395),4)</f>
        <v>798.41250000000002</v>
      </c>
      <c r="W398" s="48">
        <f>ROUND((L398*J395+1.3*L398*N395+S398*G395),4)</f>
        <v>55.77</v>
      </c>
      <c r="X398" s="48">
        <f>ROUND((M398*0.9*J395+1.3*M398*0.9*N395+S398*G395),4)</f>
        <v>59.685000000000002</v>
      </c>
      <c r="Y398" s="48">
        <f>ROUND((M398*J395+1.3*N395+S398*G395),4)</f>
        <v>50.54</v>
      </c>
      <c r="Z398" s="49">
        <f>ROUND((P395*T398*F395*O395/1000000),4)</f>
        <v>0.12189999999999999</v>
      </c>
      <c r="AA398" s="49">
        <f>ROUND((Q395*U398*F395*O395/1000000),4)</f>
        <v>4.36E-2</v>
      </c>
      <c r="AB398" s="49">
        <f>ROUND((R395*V398*F395*O395/1000000),4)</f>
        <v>2.4E-2</v>
      </c>
      <c r="AC398" s="50" t="s">
        <v>205</v>
      </c>
      <c r="AD398" s="51" t="s">
        <v>206</v>
      </c>
      <c r="AE398" s="44">
        <f>ROUND((((X398*E395)/1800)),4)</f>
        <v>3.32E-2</v>
      </c>
      <c r="AF398" s="44">
        <f>ROUND(((Z398+AA398+AB398)),4)</f>
        <v>0.1895</v>
      </c>
    </row>
    <row r="399" spans="1:32" ht="12.95" customHeight="1" x14ac:dyDescent="0.25">
      <c r="A399" s="52"/>
      <c r="B399" s="53"/>
      <c r="C399" s="52"/>
      <c r="D399" s="52"/>
      <c r="E399" s="52"/>
      <c r="F399" s="63"/>
      <c r="G399" s="52"/>
      <c r="H399" s="52"/>
      <c r="I399" s="52"/>
      <c r="J399" s="52"/>
      <c r="K399" s="52"/>
      <c r="L399" s="59">
        <v>1.1299999999999999</v>
      </c>
      <c r="M399" s="59">
        <v>1.7</v>
      </c>
      <c r="N399" s="52"/>
      <c r="O399" s="52"/>
      <c r="P399" s="52"/>
      <c r="Q399" s="52"/>
      <c r="R399" s="52"/>
      <c r="S399" s="61">
        <v>0.26</v>
      </c>
      <c r="T399" s="48">
        <f>ROUND((L399*I395+1.3*L399*K395+S399*H395),4)</f>
        <v>396.1275</v>
      </c>
      <c r="U399" s="48">
        <f>ROUND((M399*0.9*I395+1.3*M399*0.9*K395+S399*H395),4)</f>
        <v>530.82749999999999</v>
      </c>
      <c r="V399" s="48">
        <f>ROUND((M399*I395+1.3*M399*K395+S399*H395),4)</f>
        <v>588.07500000000005</v>
      </c>
      <c r="W399" s="48">
        <f>ROUND((L399*J395+1.3*L399*N395+S399*G395),4)</f>
        <v>32.07</v>
      </c>
      <c r="X399" s="48">
        <f>ROUND((M399*0.9*J395+1.3*M399*0.9*N395+S399*G395),4)</f>
        <v>42.87</v>
      </c>
      <c r="Y399" s="48">
        <f>ROUND((M399*J395+1.3*M399*N395+S399*G395),4)</f>
        <v>47.46</v>
      </c>
      <c r="Z399" s="49">
        <f>ROUND((P395*T399*F395*O395/1000000),4)</f>
        <v>7.1300000000000002E-2</v>
      </c>
      <c r="AA399" s="49">
        <f>ROUND((Q395*U399*F395*O395/1000000),4)</f>
        <v>3.1800000000000002E-2</v>
      </c>
      <c r="AB399" s="49">
        <f>ROUND((R395*V399*F395*O395/1000000),4)</f>
        <v>1.7600000000000001E-2</v>
      </c>
      <c r="AC399" s="50" t="s">
        <v>250</v>
      </c>
      <c r="AD399" s="51" t="s">
        <v>208</v>
      </c>
      <c r="AE399" s="44">
        <f>ROUND((((X399*E395)/1800)),4)</f>
        <v>2.3800000000000002E-2</v>
      </c>
      <c r="AF399" s="44">
        <f>ROUND(((Z399+AA399+AB399)),4)</f>
        <v>0.1207</v>
      </c>
    </row>
    <row r="400" spans="1:32" ht="12.95" customHeight="1" x14ac:dyDescent="0.25">
      <c r="A400" s="52"/>
      <c r="B400" s="62"/>
      <c r="C400" s="56"/>
      <c r="D400" s="56"/>
      <c r="E400" s="56"/>
      <c r="F400" s="66"/>
      <c r="G400" s="56"/>
      <c r="H400" s="56"/>
      <c r="I400" s="56"/>
      <c r="J400" s="56"/>
      <c r="K400" s="56"/>
      <c r="L400" s="59">
        <v>5.3</v>
      </c>
      <c r="M400" s="59">
        <v>6.47</v>
      </c>
      <c r="N400" s="56"/>
      <c r="O400" s="56"/>
      <c r="P400" s="56"/>
      <c r="Q400" s="56"/>
      <c r="R400" s="56"/>
      <c r="S400" s="61">
        <v>9.92</v>
      </c>
      <c r="T400" s="48">
        <f>ROUND((L400*I395+1.3*L400*K395+S400*H395),4)</f>
        <v>2379.9749999999999</v>
      </c>
      <c r="U400" s="48">
        <f>ROUND((M400*0.9*I395+1.3*M400*0.9*K395+S400*H395),4)</f>
        <v>2556.0953</v>
      </c>
      <c r="V400" s="48">
        <f>ROUND((M400*I395+1.3*M400*K395+S400*H395),4)</f>
        <v>2773.9724999999999</v>
      </c>
      <c r="W400" s="48">
        <f>ROUND((L400*J395+1.3*L400*N395+S400*G395),4)</f>
        <v>202.62</v>
      </c>
      <c r="X400" s="48">
        <f>ROUND((M400*0.9*J395+1.3*M400*0.9*N395+S400*G395),4)</f>
        <v>216.74100000000001</v>
      </c>
      <c r="Y400" s="48">
        <f>ROUND((M400*J395+1.3*M400*N395+S400*G395),4)</f>
        <v>234.21</v>
      </c>
      <c r="Z400" s="49">
        <f>ROUND((P395*T400*F395*O395/1000000),4)</f>
        <v>0.4284</v>
      </c>
      <c r="AA400" s="49">
        <f>ROUND((Q395*U400*F395*O395/1000000),4)</f>
        <v>0.15340000000000001</v>
      </c>
      <c r="AB400" s="49">
        <f>ROUND((R395*V400*F395*O395/1000000),4)</f>
        <v>8.3199999999999996E-2</v>
      </c>
      <c r="AC400" s="50" t="s">
        <v>170</v>
      </c>
      <c r="AD400" s="51" t="s">
        <v>162</v>
      </c>
      <c r="AE400" s="44">
        <f>ROUND((((X400*E395)/1800)),4)</f>
        <v>0.12039999999999999</v>
      </c>
      <c r="AF400" s="44">
        <f>ROUND(((Z400+AA400+AB400)),4)</f>
        <v>0.66500000000000004</v>
      </c>
    </row>
    <row r="401" spans="1:34" ht="12.95" customHeight="1" x14ac:dyDescent="0.25">
      <c r="A401" s="52"/>
      <c r="B401" s="67" t="s">
        <v>220</v>
      </c>
      <c r="C401" s="46">
        <v>7</v>
      </c>
      <c r="D401" s="45" t="s">
        <v>217</v>
      </c>
      <c r="E401" s="45">
        <v>1</v>
      </c>
      <c r="F401" s="45">
        <v>3</v>
      </c>
      <c r="G401" s="45">
        <v>6</v>
      </c>
      <c r="H401" s="45">
        <v>60</v>
      </c>
      <c r="I401" s="45">
        <f>(8-1-0.75*2)*60*F401-K401-8*0.12*60</f>
        <v>288.89999999999998</v>
      </c>
      <c r="J401" s="45">
        <v>14</v>
      </c>
      <c r="K401" s="45">
        <f>(8-1-0.75*2)*0.65*60*F401</f>
        <v>643.5</v>
      </c>
      <c r="L401" s="48">
        <v>10.16</v>
      </c>
      <c r="M401" s="48">
        <v>10.16</v>
      </c>
      <c r="N401" s="45">
        <v>10</v>
      </c>
      <c r="O401" s="45">
        <f>E401/F401</f>
        <v>0.33333333333333331</v>
      </c>
      <c r="P401" s="45">
        <v>140</v>
      </c>
      <c r="Q401" s="45">
        <v>20</v>
      </c>
      <c r="R401" s="47">
        <v>20</v>
      </c>
      <c r="S401" s="47">
        <v>1.99</v>
      </c>
      <c r="T401" s="48">
        <f>ROUND((L401*I401+1.3*L401*K401+S401*H401),4)</f>
        <v>11553.972</v>
      </c>
      <c r="U401" s="48">
        <f>ROUND((M401*I401+1.3*M401*K401+S401*H401),4)</f>
        <v>11553.972</v>
      </c>
      <c r="V401" s="48">
        <f>ROUND((M401*I401+1.3*M401*K401+S401*H401),4)</f>
        <v>11553.972</v>
      </c>
      <c r="W401" s="48">
        <f>ROUND((L401*J401+1.3*L401*N401+S401*G401),4)</f>
        <v>286.26</v>
      </c>
      <c r="X401" s="48">
        <f>ROUND((M401*J401+1.3*M401*N401+S401*G401),4)</f>
        <v>286.26</v>
      </c>
      <c r="Y401" s="48">
        <f>ROUND((M401*J401+1.3*M401*N401+S401*G401),4)</f>
        <v>286.26</v>
      </c>
      <c r="Z401" s="49">
        <f>ROUND((P401*T401*F401*O401/1000000),4)</f>
        <v>1.6175999999999999</v>
      </c>
      <c r="AA401" s="49">
        <f>ROUND((Q401*U401*F401*O401/1000000),4)</f>
        <v>0.2311</v>
      </c>
      <c r="AB401" s="49">
        <f>ROUND((R401*V401*F401*O401/1000000),4)</f>
        <v>0.2311</v>
      </c>
      <c r="AC401" s="50" t="s">
        <v>200</v>
      </c>
      <c r="AD401" s="51" t="s">
        <v>153</v>
      </c>
      <c r="AE401" s="44">
        <f>ROUND((((X401*E401)/1800)*0.8),4)</f>
        <v>0.12720000000000001</v>
      </c>
      <c r="AF401" s="44">
        <f>ROUND(((Z401+AA401+AB401)*0.8),4)</f>
        <v>1.6637999999999999</v>
      </c>
    </row>
    <row r="402" spans="1:34" ht="12.95" customHeight="1" x14ac:dyDescent="0.25">
      <c r="A402" s="52"/>
      <c r="B402" s="53" t="s">
        <v>221</v>
      </c>
      <c r="C402" s="52"/>
      <c r="D402" s="52"/>
      <c r="E402" s="52"/>
      <c r="F402" s="52"/>
      <c r="G402" s="52"/>
      <c r="H402" s="52"/>
      <c r="I402" s="52"/>
      <c r="J402" s="52"/>
      <c r="K402" s="52"/>
      <c r="L402" s="56"/>
      <c r="M402" s="56"/>
      <c r="N402" s="52"/>
      <c r="O402" s="52"/>
      <c r="P402" s="52"/>
      <c r="Q402" s="52"/>
      <c r="R402" s="52"/>
      <c r="S402" s="57"/>
      <c r="T402" s="54"/>
      <c r="U402" s="54"/>
      <c r="V402" s="54"/>
      <c r="W402" s="54"/>
      <c r="X402" s="54"/>
      <c r="Y402" s="54"/>
      <c r="Z402" s="54"/>
      <c r="AA402" s="54"/>
      <c r="AB402" s="54"/>
      <c r="AC402" s="50" t="s">
        <v>201</v>
      </c>
      <c r="AD402" s="51" t="s">
        <v>202</v>
      </c>
      <c r="AE402" s="44">
        <f>ROUND((((X401*E401)/1800)*0.13),4)</f>
        <v>2.07E-2</v>
      </c>
      <c r="AF402" s="44">
        <f>ROUND(((Z401+AA401+AB401)*0.13),4)</f>
        <v>0.27039999999999997</v>
      </c>
    </row>
    <row r="403" spans="1:34" ht="12.95" customHeight="1" x14ac:dyDescent="0.25">
      <c r="A403" s="52"/>
      <c r="B403" s="88"/>
      <c r="C403" s="55"/>
      <c r="D403" s="55"/>
      <c r="E403" s="52"/>
      <c r="F403" s="52"/>
      <c r="G403" s="52"/>
      <c r="H403" s="52"/>
      <c r="I403" s="52"/>
      <c r="J403" s="52"/>
      <c r="K403" s="52"/>
      <c r="L403" s="59">
        <v>0.8</v>
      </c>
      <c r="M403" s="59">
        <v>0.98</v>
      </c>
      <c r="N403" s="52"/>
      <c r="O403" s="52"/>
      <c r="P403" s="52"/>
      <c r="Q403" s="52"/>
      <c r="R403" s="52"/>
      <c r="S403" s="60">
        <v>0.39</v>
      </c>
      <c r="T403" s="48">
        <f>ROUND((L403*I401+1.3*L403*K401+S403*H401),4)</f>
        <v>923.76</v>
      </c>
      <c r="U403" s="48">
        <f>ROUND((M403*0.9*I401+1.3*M403*0.9*K401+S403*H401),4)</f>
        <v>1016.0469000000001</v>
      </c>
      <c r="V403" s="48">
        <f>ROUND((M403*I401+1.3*M403*K401+S403*H401),4)</f>
        <v>1126.3409999999999</v>
      </c>
      <c r="W403" s="48">
        <f>ROUND((L403*J401+1.3*L403*N401+S403*G401),4)</f>
        <v>23.94</v>
      </c>
      <c r="X403" s="48">
        <f>ROUND((M403*0.9*J401+1.3*M403*0.9*N401+S403*G401),4)</f>
        <v>26.154</v>
      </c>
      <c r="Y403" s="48">
        <f>ROUND((M403*J401+1.3*M403*N401+S403*G401),4)</f>
        <v>28.8</v>
      </c>
      <c r="Z403" s="49">
        <f>ROUND((P401*T403*F401*O401/1000000),4)</f>
        <v>0.1293</v>
      </c>
      <c r="AA403" s="49">
        <f>ROUND((Q401*U403*F401*O401/1000000),4)</f>
        <v>2.0299999999999999E-2</v>
      </c>
      <c r="AB403" s="49">
        <f>ROUND((R401*V403*F401*O401/1000000),4)</f>
        <v>2.2499999999999999E-2</v>
      </c>
      <c r="AC403" s="50" t="s">
        <v>203</v>
      </c>
      <c r="AD403" s="51" t="s">
        <v>204</v>
      </c>
      <c r="AE403" s="44">
        <f>ROUND((((X403*E401)/1800)),4)</f>
        <v>1.4500000000000001E-2</v>
      </c>
      <c r="AF403" s="44">
        <f>ROUND(((Z403+AA403+AB403)),5)</f>
        <v>0.1721</v>
      </c>
    </row>
    <row r="404" spans="1:34" ht="12.95" customHeight="1" x14ac:dyDescent="0.25">
      <c r="A404" s="52"/>
      <c r="B404" s="88"/>
      <c r="C404" s="52"/>
      <c r="D404" s="52"/>
      <c r="E404" s="52"/>
      <c r="F404" s="52"/>
      <c r="G404" s="52"/>
      <c r="H404" s="52"/>
      <c r="I404" s="52"/>
      <c r="J404" s="52"/>
      <c r="K404" s="52"/>
      <c r="L404" s="59">
        <v>1.79</v>
      </c>
      <c r="M404" s="59">
        <v>2.15</v>
      </c>
      <c r="N404" s="52"/>
      <c r="O404" s="52"/>
      <c r="P404" s="52"/>
      <c r="Q404" s="52"/>
      <c r="R404" s="52"/>
      <c r="S404" s="61">
        <v>1.24</v>
      </c>
      <c r="T404" s="48">
        <f>ROUND((L404*I401+1.3*L404*K401+S404*H401),4)</f>
        <v>2088.9555</v>
      </c>
      <c r="U404" s="48">
        <f>ROUND((M404*0.9*I401+1.3*M404*0.9*K401+S404*H401),4)</f>
        <v>2252.1457999999998</v>
      </c>
      <c r="V404" s="48">
        <f>ROUND((M404*I401+1.3*M404*K401+S404*H401),4)</f>
        <v>2494.1174999999998</v>
      </c>
      <c r="W404" s="48">
        <f>ROUND((L404*J401+1.3*L404*N401+S404*G401),4)</f>
        <v>55.77</v>
      </c>
      <c r="X404" s="48">
        <f>ROUND((M404*0.9*J401+1.3*M404*0.9*N401+S404*G401),4)</f>
        <v>59.685000000000002</v>
      </c>
      <c r="Y404" s="48">
        <f>ROUND((M404*J401+1.3*N401+S404*G401),4)</f>
        <v>50.54</v>
      </c>
      <c r="Z404" s="49">
        <f>ROUND((P401*T404*F401*O401/1000000),4)</f>
        <v>0.29249999999999998</v>
      </c>
      <c r="AA404" s="49">
        <f>ROUND((Q401*U404*F401*O401/1000000),4)</f>
        <v>4.4999999999999998E-2</v>
      </c>
      <c r="AB404" s="49">
        <f>ROUND((R401*V404*F401*O401/1000000),4)</f>
        <v>4.99E-2</v>
      </c>
      <c r="AC404" s="50" t="s">
        <v>205</v>
      </c>
      <c r="AD404" s="51" t="s">
        <v>206</v>
      </c>
      <c r="AE404" s="44">
        <f>ROUND((((X404*E401)/1800)),4)</f>
        <v>3.32E-2</v>
      </c>
      <c r="AF404" s="44">
        <f>ROUND(((Z404+AA404+AB404)),4)</f>
        <v>0.38740000000000002</v>
      </c>
    </row>
    <row r="405" spans="1:34" ht="12.95" customHeight="1" x14ac:dyDescent="0.25">
      <c r="A405" s="52"/>
      <c r="B405" s="53"/>
      <c r="C405" s="52"/>
      <c r="D405" s="52"/>
      <c r="E405" s="52"/>
      <c r="F405" s="52"/>
      <c r="G405" s="52"/>
      <c r="H405" s="52"/>
      <c r="I405" s="52"/>
      <c r="J405" s="52"/>
      <c r="K405" s="52"/>
      <c r="L405" s="59">
        <v>1.1299999999999999</v>
      </c>
      <c r="M405" s="59">
        <v>1.7</v>
      </c>
      <c r="N405" s="52"/>
      <c r="O405" s="52"/>
      <c r="P405" s="52"/>
      <c r="Q405" s="52"/>
      <c r="R405" s="52"/>
      <c r="S405" s="61">
        <v>0.26</v>
      </c>
      <c r="T405" s="48">
        <f>ROUND((L405*I401+1.3*L405*K401+S405*H401),4)</f>
        <v>1287.3585</v>
      </c>
      <c r="U405" s="48">
        <f>ROUND((M405*0.9*I401+1.3*M405*0.9*K401+S405*H401),4)</f>
        <v>1737.5385000000001</v>
      </c>
      <c r="V405" s="48">
        <f>ROUND((M405*I401+1.3*M405*K401+S405*H401),4)</f>
        <v>1928.865</v>
      </c>
      <c r="W405" s="48">
        <f>ROUND((L405*J401+1.3*L405*N401+S405*G401),4)</f>
        <v>32.07</v>
      </c>
      <c r="X405" s="48">
        <f>ROUND((M405*0.9*J401+1.3*M405*0.9*N401+S405*G401),4)</f>
        <v>42.87</v>
      </c>
      <c r="Y405" s="48">
        <f>ROUND((M405*J401+1.3*M405*N401+S405*G401),4)</f>
        <v>47.46</v>
      </c>
      <c r="Z405" s="49">
        <f>ROUND((P401*T405*F401*O401/1000000),4)</f>
        <v>0.1802</v>
      </c>
      <c r="AA405" s="49">
        <f>ROUND((Q401*U405*F401*O401/1000000),4)</f>
        <v>3.4799999999999998E-2</v>
      </c>
      <c r="AB405" s="49">
        <f>ROUND((R401*V405*F401*O401/1000000),4)</f>
        <v>3.8600000000000002E-2</v>
      </c>
      <c r="AC405" s="50" t="s">
        <v>250</v>
      </c>
      <c r="AD405" s="51" t="s">
        <v>208</v>
      </c>
      <c r="AE405" s="44">
        <f>ROUND((((X405*E401)/1800)),4)</f>
        <v>2.3800000000000002E-2</v>
      </c>
      <c r="AF405" s="44">
        <f>ROUND(((Z405+AA405+AB405)),4)</f>
        <v>0.25359999999999999</v>
      </c>
    </row>
    <row r="406" spans="1:34" ht="12.95" customHeight="1" x14ac:dyDescent="0.25">
      <c r="A406" s="52"/>
      <c r="B406" s="62"/>
      <c r="C406" s="56"/>
      <c r="D406" s="56"/>
      <c r="E406" s="56"/>
      <c r="F406" s="56"/>
      <c r="G406" s="56"/>
      <c r="H406" s="56"/>
      <c r="I406" s="56"/>
      <c r="J406" s="56"/>
      <c r="K406" s="56"/>
      <c r="L406" s="59">
        <v>5.3</v>
      </c>
      <c r="M406" s="59">
        <v>6.47</v>
      </c>
      <c r="N406" s="56"/>
      <c r="O406" s="56"/>
      <c r="P406" s="56"/>
      <c r="Q406" s="56"/>
      <c r="R406" s="56"/>
      <c r="S406" s="61">
        <v>9.92</v>
      </c>
      <c r="T406" s="48">
        <f>ROUND((L406*I401+1.3*L406*K401+S406*H401),4)</f>
        <v>6560.085</v>
      </c>
      <c r="U406" s="48">
        <f>ROUND((M406*0.9*I401+1.3*M406*0.9*K401+S406*H401),4)</f>
        <v>7148.6953999999996</v>
      </c>
      <c r="V406" s="48">
        <f>ROUND((M406*I401+1.3*M406*K401+S406*H401),4)</f>
        <v>7876.8615</v>
      </c>
      <c r="W406" s="48">
        <f>ROUND((L406*J401+1.3*L406*N401+S406*G401),4)</f>
        <v>202.62</v>
      </c>
      <c r="X406" s="48">
        <f>ROUND((M406*0.9*J401+1.3*M406*0.9*N401+S406*G401),4)</f>
        <v>216.74100000000001</v>
      </c>
      <c r="Y406" s="48">
        <f>ROUND((M406*J401+1.3*M406*N401+S406*G401),4)</f>
        <v>234.21</v>
      </c>
      <c r="Z406" s="49">
        <f>ROUND((P401*T406*F401*O401/1000000),4)</f>
        <v>0.91839999999999999</v>
      </c>
      <c r="AA406" s="49">
        <f>ROUND((Q401*U406*F401*O401/1000000),4)</f>
        <v>0.14299999999999999</v>
      </c>
      <c r="AB406" s="49">
        <f>ROUND((R401*V406*F401*O401/1000000),4)</f>
        <v>0.1575</v>
      </c>
      <c r="AC406" s="50" t="s">
        <v>170</v>
      </c>
      <c r="AD406" s="51" t="s">
        <v>162</v>
      </c>
      <c r="AE406" s="44">
        <f>ROUND((((X406*E401)/1800)),4)</f>
        <v>0.12039999999999999</v>
      </c>
      <c r="AF406" s="44">
        <f>ROUND(((Z406+AA406+AB406)),4)</f>
        <v>1.2189000000000001</v>
      </c>
    </row>
    <row r="407" spans="1:34" ht="12.95" customHeight="1" x14ac:dyDescent="0.25">
      <c r="A407" s="52"/>
      <c r="B407" s="67" t="s">
        <v>220</v>
      </c>
      <c r="C407" s="46">
        <v>7</v>
      </c>
      <c r="D407" s="45" t="s">
        <v>217</v>
      </c>
      <c r="E407" s="45">
        <v>1</v>
      </c>
      <c r="F407" s="45">
        <v>1</v>
      </c>
      <c r="G407" s="45">
        <v>6</v>
      </c>
      <c r="H407" s="45">
        <v>60</v>
      </c>
      <c r="I407" s="45">
        <f>(8-1-0.75*2)*60*F407-K407-8*0.12*60</f>
        <v>57.900000000000006</v>
      </c>
      <c r="J407" s="45">
        <v>14</v>
      </c>
      <c r="K407" s="45">
        <f>(8-1-0.75*2)*0.65*60*F407</f>
        <v>214.5</v>
      </c>
      <c r="L407" s="48">
        <v>10.16</v>
      </c>
      <c r="M407" s="48">
        <v>10.16</v>
      </c>
      <c r="N407" s="45">
        <v>10</v>
      </c>
      <c r="O407" s="45">
        <f>E407/F407</f>
        <v>1</v>
      </c>
      <c r="P407" s="45">
        <v>140</v>
      </c>
      <c r="Q407" s="45">
        <v>20</v>
      </c>
      <c r="R407" s="47">
        <v>20</v>
      </c>
      <c r="S407" s="47">
        <v>1.99</v>
      </c>
      <c r="T407" s="48">
        <f>ROUND((L407*I407+1.3*L407*K407+S407*H407),4)</f>
        <v>3540.78</v>
      </c>
      <c r="U407" s="48">
        <f>ROUND((M407*I407+1.3*M407*K407+S407*H407),4)</f>
        <v>3540.78</v>
      </c>
      <c r="V407" s="48">
        <f>ROUND((M407*I407+1.3*M407*K407+S407*H407),4)</f>
        <v>3540.78</v>
      </c>
      <c r="W407" s="48">
        <f>ROUND((L407*J407+1.3*L407*N407+S407*G407),4)</f>
        <v>286.26</v>
      </c>
      <c r="X407" s="48">
        <f>ROUND((M407*J407+1.3*M407*N407+S407*G407),4)</f>
        <v>286.26</v>
      </c>
      <c r="Y407" s="48">
        <f>ROUND((M407*J407+1.3*M407*N407+S407*G407),4)</f>
        <v>286.26</v>
      </c>
      <c r="Z407" s="49">
        <f>ROUND((P407*T407*F407*O407/1000000),4)</f>
        <v>0.49569999999999997</v>
      </c>
      <c r="AA407" s="49">
        <f>ROUND((Q407*U407*F407*O407/1000000),4)</f>
        <v>7.0800000000000002E-2</v>
      </c>
      <c r="AB407" s="49">
        <f>ROUND((R407*V407*F407*O407/1000000),4)</f>
        <v>7.0800000000000002E-2</v>
      </c>
      <c r="AC407" s="50" t="s">
        <v>200</v>
      </c>
      <c r="AD407" s="51" t="s">
        <v>153</v>
      </c>
      <c r="AE407" s="44">
        <f>ROUND((((X407*E407)/1800)*0.8),4)</f>
        <v>0.12720000000000001</v>
      </c>
      <c r="AF407" s="44">
        <f>ROUND(((Z407+AA407+AB407)*0.8),4)</f>
        <v>0.50980000000000003</v>
      </c>
    </row>
    <row r="408" spans="1:34" ht="12.95" customHeight="1" x14ac:dyDescent="0.25">
      <c r="A408" s="52"/>
      <c r="B408" s="53" t="s">
        <v>222</v>
      </c>
      <c r="C408" s="52"/>
      <c r="D408" s="52"/>
      <c r="E408" s="52"/>
      <c r="F408" s="63"/>
      <c r="G408" s="52"/>
      <c r="H408" s="52"/>
      <c r="I408" s="52"/>
      <c r="J408" s="52"/>
      <c r="K408" s="52"/>
      <c r="L408" s="56"/>
      <c r="M408" s="56"/>
      <c r="N408" s="52"/>
      <c r="O408" s="52"/>
      <c r="P408" s="52"/>
      <c r="Q408" s="52"/>
      <c r="R408" s="52"/>
      <c r="S408" s="57"/>
      <c r="T408" s="54"/>
      <c r="U408" s="54"/>
      <c r="V408" s="54"/>
      <c r="W408" s="54"/>
      <c r="X408" s="54"/>
      <c r="Y408" s="54"/>
      <c r="Z408" s="54"/>
      <c r="AA408" s="54"/>
      <c r="AB408" s="54"/>
      <c r="AC408" s="50" t="s">
        <v>201</v>
      </c>
      <c r="AD408" s="51" t="s">
        <v>202</v>
      </c>
      <c r="AE408" s="44">
        <f>ROUND((((X407*E407)/1800)*0.13),4)</f>
        <v>2.07E-2</v>
      </c>
      <c r="AF408" s="44">
        <f>ROUND(((Z407+AA407+AB407)*0.13),4)</f>
        <v>8.2799999999999999E-2</v>
      </c>
    </row>
    <row r="409" spans="1:34" ht="12.95" customHeight="1" x14ac:dyDescent="0.25">
      <c r="A409" s="52"/>
      <c r="B409" s="88"/>
      <c r="C409" s="55"/>
      <c r="D409" s="55"/>
      <c r="E409" s="52"/>
      <c r="F409" s="63"/>
      <c r="G409" s="52"/>
      <c r="H409" s="52"/>
      <c r="I409" s="52"/>
      <c r="J409" s="52"/>
      <c r="K409" s="52"/>
      <c r="L409" s="59">
        <v>0.8</v>
      </c>
      <c r="M409" s="59">
        <v>0.98</v>
      </c>
      <c r="N409" s="52"/>
      <c r="O409" s="52"/>
      <c r="P409" s="52"/>
      <c r="Q409" s="52"/>
      <c r="R409" s="52"/>
      <c r="S409" s="60">
        <v>0.39</v>
      </c>
      <c r="T409" s="48">
        <f>ROUND((L409*I407+1.3*L409*K407+S409*H407),4)</f>
        <v>292.8</v>
      </c>
      <c r="U409" s="48">
        <f>ROUND((M409*0.9*I407+1.3*M409*0.9*K407+S409*H407),4)</f>
        <v>320.4135</v>
      </c>
      <c r="V409" s="48">
        <f>ROUND((M409*I407+1.3*M409*K407+S409*H407),4)</f>
        <v>353.41500000000002</v>
      </c>
      <c r="W409" s="48">
        <f>ROUND((L409*J407+1.3*L409*N407+S409*G407),4)</f>
        <v>23.94</v>
      </c>
      <c r="X409" s="48">
        <f>ROUND((M409*0.9*J407+1.3*M409*0.9*N407+S409*G407),4)</f>
        <v>26.154</v>
      </c>
      <c r="Y409" s="48">
        <f>ROUND((M409*J407+1.3*M409*N407+S409*G407),4)</f>
        <v>28.8</v>
      </c>
      <c r="Z409" s="49">
        <f>ROUND((P407*T409*F407*O407/1000000),4)</f>
        <v>4.1000000000000002E-2</v>
      </c>
      <c r="AA409" s="49">
        <f>ROUND((Q407*U409*F407*O407/1000000),4)</f>
        <v>6.4000000000000003E-3</v>
      </c>
      <c r="AB409" s="49">
        <f>ROUND((R407*V409*F407*O407/1000000),4)</f>
        <v>7.1000000000000004E-3</v>
      </c>
      <c r="AC409" s="50" t="s">
        <v>203</v>
      </c>
      <c r="AD409" s="51" t="s">
        <v>204</v>
      </c>
      <c r="AE409" s="44">
        <f>ROUND((((X409*E407)/1800)),4)</f>
        <v>1.4500000000000001E-2</v>
      </c>
      <c r="AF409" s="44">
        <f>ROUND(((Z409+AA409+AB409)),5)</f>
        <v>5.45E-2</v>
      </c>
    </row>
    <row r="410" spans="1:34" ht="12.95" customHeight="1" x14ac:dyDescent="0.25">
      <c r="A410" s="52"/>
      <c r="B410" s="88"/>
      <c r="C410" s="52"/>
      <c r="D410" s="52"/>
      <c r="E410" s="52"/>
      <c r="F410" s="63"/>
      <c r="G410" s="52"/>
      <c r="H410" s="52"/>
      <c r="I410" s="52"/>
      <c r="J410" s="52"/>
      <c r="K410" s="52"/>
      <c r="L410" s="59">
        <v>1.79</v>
      </c>
      <c r="M410" s="59">
        <v>2.15</v>
      </c>
      <c r="N410" s="52"/>
      <c r="O410" s="52"/>
      <c r="P410" s="52"/>
      <c r="Q410" s="52"/>
      <c r="R410" s="52"/>
      <c r="S410" s="61">
        <v>1.24</v>
      </c>
      <c r="T410" s="48">
        <f>ROUND((L410*I407+1.3*L410*K407+S410*H407),4)</f>
        <v>677.1825</v>
      </c>
      <c r="U410" s="48">
        <f>ROUND((M410*0.9*I407+1.3*M410*0.9*K407+S410*H407),4)</f>
        <v>726.01130000000001</v>
      </c>
      <c r="V410" s="48">
        <f>ROUND((M410*I407+1.3*M410*K407+S410*H407),4)</f>
        <v>798.41250000000002</v>
      </c>
      <c r="W410" s="48">
        <f>ROUND((L410*J407+1.3*L410*N407+S410*G407),4)</f>
        <v>55.77</v>
      </c>
      <c r="X410" s="48">
        <f>ROUND((M410*0.9*J407+1.3*M410*0.9*N407+S410*G407),4)</f>
        <v>59.685000000000002</v>
      </c>
      <c r="Y410" s="48">
        <f>ROUND((M410*J407+1.3*N407+S410*G407),4)</f>
        <v>50.54</v>
      </c>
      <c r="Z410" s="49">
        <f>ROUND((P407*T410*F407*O407/1000000),4)</f>
        <v>9.4799999999999995E-2</v>
      </c>
      <c r="AA410" s="49">
        <f>ROUND((Q407*U410*F407*O407/1000000),4)</f>
        <v>1.4500000000000001E-2</v>
      </c>
      <c r="AB410" s="49">
        <f>ROUND((R407*V410*F407*O407/1000000),4)</f>
        <v>1.6E-2</v>
      </c>
      <c r="AC410" s="50" t="s">
        <v>205</v>
      </c>
      <c r="AD410" s="51" t="s">
        <v>206</v>
      </c>
      <c r="AE410" s="44">
        <f>ROUND((((X410*E407)/1800)),4)</f>
        <v>3.32E-2</v>
      </c>
      <c r="AF410" s="44">
        <f>ROUND(((Z410+AA410+AB410)),4)</f>
        <v>0.12529999999999999</v>
      </c>
    </row>
    <row r="411" spans="1:34" ht="12.95" customHeight="1" x14ac:dyDescent="0.25">
      <c r="A411" s="52"/>
      <c r="B411" s="53"/>
      <c r="C411" s="52"/>
      <c r="D411" s="52"/>
      <c r="E411" s="52"/>
      <c r="F411" s="63"/>
      <c r="G411" s="52"/>
      <c r="H411" s="52"/>
      <c r="I411" s="52"/>
      <c r="J411" s="52"/>
      <c r="K411" s="52"/>
      <c r="L411" s="59">
        <v>1.1299999999999999</v>
      </c>
      <c r="M411" s="59">
        <v>1.7</v>
      </c>
      <c r="N411" s="52"/>
      <c r="O411" s="52"/>
      <c r="P411" s="52"/>
      <c r="Q411" s="52"/>
      <c r="R411" s="52"/>
      <c r="S411" s="61">
        <v>0.26</v>
      </c>
      <c r="T411" s="48">
        <f>ROUND((L411*I407+1.3*L411*K407+S411*H407),4)</f>
        <v>396.1275</v>
      </c>
      <c r="U411" s="48">
        <f>ROUND((M411*0.9*I407+1.3*M411*0.9*K407+S411*H407),4)</f>
        <v>530.82749999999999</v>
      </c>
      <c r="V411" s="48">
        <f>ROUND((M411*I407+1.3*M411*K407+S411*H407),4)</f>
        <v>588.07500000000005</v>
      </c>
      <c r="W411" s="48">
        <f>ROUND((L411*J407+1.3*L411*N407+S411*G407),4)</f>
        <v>32.07</v>
      </c>
      <c r="X411" s="48">
        <f>ROUND((M411*0.9*J407+1.3*M411*0.9*N407+S411*G407),4)</f>
        <v>42.87</v>
      </c>
      <c r="Y411" s="48">
        <f>ROUND((M411*J407+1.3*M411*N407+S411*G407),4)</f>
        <v>47.46</v>
      </c>
      <c r="Z411" s="49">
        <f>ROUND((P407*T411*F407*O407/1000000),4)</f>
        <v>5.5500000000000001E-2</v>
      </c>
      <c r="AA411" s="49">
        <f>ROUND((Q407*U411*F407*O407/1000000),4)</f>
        <v>1.06E-2</v>
      </c>
      <c r="AB411" s="49">
        <f>ROUND((R407*V411*F407*O407/1000000),4)</f>
        <v>1.18E-2</v>
      </c>
      <c r="AC411" s="50" t="s">
        <v>250</v>
      </c>
      <c r="AD411" s="51" t="s">
        <v>208</v>
      </c>
      <c r="AE411" s="44">
        <f>ROUND((((X411*E407)/1800)),4)</f>
        <v>2.3800000000000002E-2</v>
      </c>
      <c r="AF411" s="44">
        <f>ROUND(((Z411+AA411+AB411)),4)</f>
        <v>7.7899999999999997E-2</v>
      </c>
    </row>
    <row r="412" spans="1:34" ht="12.95" customHeight="1" x14ac:dyDescent="0.25">
      <c r="A412" s="52"/>
      <c r="B412" s="62"/>
      <c r="C412" s="56"/>
      <c r="D412" s="56"/>
      <c r="E412" s="56"/>
      <c r="F412" s="66"/>
      <c r="G412" s="56"/>
      <c r="H412" s="56"/>
      <c r="I412" s="56"/>
      <c r="J412" s="56"/>
      <c r="K412" s="56"/>
      <c r="L412" s="59">
        <v>5.3</v>
      </c>
      <c r="M412" s="59">
        <v>6.47</v>
      </c>
      <c r="N412" s="56"/>
      <c r="O412" s="56"/>
      <c r="P412" s="56"/>
      <c r="Q412" s="56"/>
      <c r="R412" s="56"/>
      <c r="S412" s="61">
        <v>9.92</v>
      </c>
      <c r="T412" s="48">
        <f>ROUND((L412*I407+1.3*L412*K407+S412*H407),4)</f>
        <v>2379.9749999999999</v>
      </c>
      <c r="U412" s="48">
        <f>ROUND((M412*0.9*I407+1.3*M412*0.9*K407+S412*H407),4)</f>
        <v>2556.0953</v>
      </c>
      <c r="V412" s="48">
        <f>ROUND((M412*I407+1.3*M412*K407+S412*H407),4)</f>
        <v>2773.9724999999999</v>
      </c>
      <c r="W412" s="48">
        <f>ROUND((L412*J407+1.3*L412*N407+S412*G407),4)</f>
        <v>202.62</v>
      </c>
      <c r="X412" s="48">
        <f>ROUND((M412*0.9*J407+1.3*M412*0.9*N407+S412*G407),4)</f>
        <v>216.74100000000001</v>
      </c>
      <c r="Y412" s="48">
        <f>ROUND((M412*J407+1.3*M412*N407+S412*G407),4)</f>
        <v>234.21</v>
      </c>
      <c r="Z412" s="49">
        <f>ROUND((P407*T412*F407*O407/1000000),4)</f>
        <v>0.3332</v>
      </c>
      <c r="AA412" s="49">
        <f>ROUND((Q407*U412*F407*O407/1000000),4)</f>
        <v>5.11E-2</v>
      </c>
      <c r="AB412" s="49">
        <f>ROUND((R407*V412*F407*O407/1000000),4)</f>
        <v>5.5500000000000001E-2</v>
      </c>
      <c r="AC412" s="50" t="s">
        <v>170</v>
      </c>
      <c r="AD412" s="51" t="s">
        <v>162</v>
      </c>
      <c r="AE412" s="44">
        <f>ROUND((((X412*E407)/1800)),4)</f>
        <v>0.12039999999999999</v>
      </c>
      <c r="AF412" s="44">
        <f>ROUND(((Z412+AA412+AB412)),4)</f>
        <v>0.43980000000000002</v>
      </c>
    </row>
    <row r="413" spans="1:34" ht="12.95" customHeight="1" x14ac:dyDescent="0.25">
      <c r="A413" s="52"/>
      <c r="B413" s="67" t="s">
        <v>223</v>
      </c>
      <c r="C413" s="46">
        <v>1</v>
      </c>
      <c r="D413" s="45" t="s">
        <v>225</v>
      </c>
      <c r="E413" s="45">
        <v>1</v>
      </c>
      <c r="F413" s="45">
        <v>1</v>
      </c>
      <c r="G413" s="45">
        <v>6</v>
      </c>
      <c r="H413" s="45">
        <v>60</v>
      </c>
      <c r="I413" s="45">
        <f>(8-1-0.75*2)*60*F413-K413-8*0.12*60</f>
        <v>57.900000000000006</v>
      </c>
      <c r="J413" s="45">
        <v>14</v>
      </c>
      <c r="K413" s="45">
        <f>(8-1-0.75*2)*0.65*60*F413</f>
        <v>214.5</v>
      </c>
      <c r="L413" s="48">
        <v>0.47</v>
      </c>
      <c r="M413" s="48">
        <v>0.47</v>
      </c>
      <c r="N413" s="45">
        <v>10</v>
      </c>
      <c r="O413" s="45">
        <f>E413/F413</f>
        <v>1</v>
      </c>
      <c r="P413" s="45">
        <v>180</v>
      </c>
      <c r="Q413" s="45">
        <v>30</v>
      </c>
      <c r="R413" s="47">
        <v>0</v>
      </c>
      <c r="S413" s="47">
        <v>0.09</v>
      </c>
      <c r="T413" s="48">
        <f>ROUND((L413*I413+1.3*L413*K413+S413*H413),4)</f>
        <v>163.67250000000001</v>
      </c>
      <c r="U413" s="48">
        <f>ROUND((M413*I413+1.3*M413*K413+S413*H413),4)</f>
        <v>163.67250000000001</v>
      </c>
      <c r="V413" s="48">
        <f>ROUND((M413*I413+1.3*M413*K413+S413*H413),4)</f>
        <v>163.67250000000001</v>
      </c>
      <c r="W413" s="48">
        <f>ROUND((L413*J413+1.3*L413*N413+S413*G413),4)</f>
        <v>13.23</v>
      </c>
      <c r="X413" s="48">
        <f>ROUND((M413*J413+1.3*M413*N413+S413*G413),4)</f>
        <v>13.23</v>
      </c>
      <c r="Y413" s="48">
        <f>ROUND((M413*J413+1.3*M413*N413+S413*G413),4)</f>
        <v>13.23</v>
      </c>
      <c r="Z413" s="49">
        <f>ROUND((P413*T413*F413*O413/1000000),4)</f>
        <v>2.9499999999999998E-2</v>
      </c>
      <c r="AA413" s="49">
        <f>ROUND((Q413*U413*F413*O413/1000000),4)</f>
        <v>4.8999999999999998E-3</v>
      </c>
      <c r="AB413" s="49">
        <f>ROUND((R413*V413*F413*O413/1000000),4)</f>
        <v>0</v>
      </c>
      <c r="AC413" s="50" t="s">
        <v>200</v>
      </c>
      <c r="AD413" s="51" t="s">
        <v>153</v>
      </c>
      <c r="AE413" s="44">
        <f>ROUND((((X413*E413)/1800)*0.8),4)</f>
        <v>5.8999999999999999E-3</v>
      </c>
      <c r="AF413" s="44">
        <f>ROUND(((Z413+AA413+AB413)*0.8),4)</f>
        <v>2.75E-2</v>
      </c>
      <c r="AG413" s="88"/>
      <c r="AH413" s="88"/>
    </row>
    <row r="414" spans="1:34" ht="12.95" customHeight="1" x14ac:dyDescent="0.25">
      <c r="A414" s="52"/>
      <c r="B414" s="53" t="s">
        <v>224</v>
      </c>
      <c r="C414" s="52"/>
      <c r="D414" s="52"/>
      <c r="E414" s="52"/>
      <c r="F414" s="63"/>
      <c r="G414" s="52"/>
      <c r="H414" s="52"/>
      <c r="I414" s="52"/>
      <c r="J414" s="52"/>
      <c r="K414" s="52"/>
      <c r="L414" s="56"/>
      <c r="M414" s="56"/>
      <c r="N414" s="52"/>
      <c r="O414" s="52"/>
      <c r="P414" s="52"/>
      <c r="Q414" s="52"/>
      <c r="R414" s="52"/>
      <c r="S414" s="57"/>
      <c r="T414" s="54"/>
      <c r="U414" s="54"/>
      <c r="V414" s="54"/>
      <c r="W414" s="54"/>
      <c r="X414" s="54"/>
      <c r="Y414" s="54"/>
      <c r="Z414" s="54"/>
      <c r="AA414" s="54"/>
      <c r="AB414" s="54"/>
      <c r="AC414" s="50" t="s">
        <v>201</v>
      </c>
      <c r="AD414" s="51" t="s">
        <v>202</v>
      </c>
      <c r="AE414" s="44">
        <f>ROUND((((X413*E413)/1800)*0.13),4)</f>
        <v>1E-3</v>
      </c>
      <c r="AF414" s="44">
        <f>ROUND(((Z413+AA413+AB413)*0.13),4)</f>
        <v>4.4999999999999997E-3</v>
      </c>
      <c r="AG414" s="88"/>
      <c r="AH414" s="88"/>
    </row>
    <row r="415" spans="1:34" ht="12.95" customHeight="1" x14ac:dyDescent="0.25">
      <c r="A415" s="52"/>
      <c r="B415" s="88"/>
      <c r="C415" s="55"/>
      <c r="D415" s="55"/>
      <c r="E415" s="52"/>
      <c r="F415" s="63"/>
      <c r="G415" s="52"/>
      <c r="H415" s="52"/>
      <c r="I415" s="52"/>
      <c r="J415" s="52"/>
      <c r="K415" s="52"/>
      <c r="L415" s="59">
        <v>0.8</v>
      </c>
      <c r="M415" s="59">
        <v>0.98</v>
      </c>
      <c r="N415" s="52"/>
      <c r="O415" s="52"/>
      <c r="P415" s="52"/>
      <c r="Q415" s="52"/>
      <c r="R415" s="52"/>
      <c r="S415" s="60">
        <v>1.7999999999999999E-2</v>
      </c>
      <c r="T415" s="48">
        <f>ROUND((L415*I413+1.3*L415*K413+S415*H413),4)</f>
        <v>270.48</v>
      </c>
      <c r="U415" s="48">
        <f>ROUND((M415*0.9*I413+1.3*M415*0.9*K413+S415*H413),4)</f>
        <v>298.09350000000001</v>
      </c>
      <c r="V415" s="48">
        <f>ROUND((M415*I413+1.3*M415*K413+S415*H413),4)</f>
        <v>331.09500000000003</v>
      </c>
      <c r="W415" s="48">
        <f>ROUND((L415*J413+1.3*L415*N413+S415*G413),4)</f>
        <v>21.707999999999998</v>
      </c>
      <c r="X415" s="48">
        <f>ROUND((M415*0.9*J413+1.3*M415*0.9*N413+S415*G413),4)</f>
        <v>23.922000000000001</v>
      </c>
      <c r="Y415" s="48">
        <f>ROUND((M415*J413+1.3*M415*N413+S415*G413),4)</f>
        <v>26.568000000000001</v>
      </c>
      <c r="Z415" s="49">
        <f>ROUND((P413*T415*F413*O413/1000000),4)</f>
        <v>4.87E-2</v>
      </c>
      <c r="AA415" s="49">
        <f>ROUND((Q413*U415*F413*O413/1000000),4)</f>
        <v>8.8999999999999999E-3</v>
      </c>
      <c r="AB415" s="49">
        <f>ROUND((R413*V415*F413*O413/1000000),4)</f>
        <v>0</v>
      </c>
      <c r="AC415" s="50" t="s">
        <v>203</v>
      </c>
      <c r="AD415" s="51" t="s">
        <v>204</v>
      </c>
      <c r="AE415" s="44">
        <f>ROUND((((X415*E413)/1800)),4)</f>
        <v>1.3299999999999999E-2</v>
      </c>
      <c r="AF415" s="44">
        <f>ROUND(((Z415+AA415+AB415)),5)</f>
        <v>5.7599999999999998E-2</v>
      </c>
      <c r="AG415" s="88"/>
      <c r="AH415" s="88"/>
    </row>
    <row r="416" spans="1:34" ht="12.95" customHeight="1" x14ac:dyDescent="0.25">
      <c r="A416" s="52"/>
      <c r="B416" s="88"/>
      <c r="C416" s="52"/>
      <c r="D416" s="52"/>
      <c r="E416" s="52"/>
      <c r="F416" s="63"/>
      <c r="G416" s="52"/>
      <c r="H416" s="52"/>
      <c r="I416" s="52"/>
      <c r="J416" s="52"/>
      <c r="K416" s="52"/>
      <c r="L416" s="59">
        <v>0.08</v>
      </c>
      <c r="M416" s="59">
        <v>0.1</v>
      </c>
      <c r="N416" s="52"/>
      <c r="O416" s="52"/>
      <c r="P416" s="52"/>
      <c r="Q416" s="52"/>
      <c r="R416" s="52"/>
      <c r="S416" s="61">
        <v>0.06</v>
      </c>
      <c r="T416" s="48">
        <f>ROUND((L416*I413+1.3*L416*K413+S416*H413),4)</f>
        <v>30.54</v>
      </c>
      <c r="U416" s="48">
        <f>ROUND((M416*0.9*I413+1.3*M416*0.9*K413+S416*H413),4)</f>
        <v>33.907499999999999</v>
      </c>
      <c r="V416" s="48">
        <f>ROUND((M416*I413+1.3*M416*K413+S416*H413),4)</f>
        <v>37.274999999999999</v>
      </c>
      <c r="W416" s="48">
        <f>ROUND((L416*J413+1.3*L416*N413+S416*G413),4)</f>
        <v>2.52</v>
      </c>
      <c r="X416" s="48">
        <f>ROUND((M416*0.9*J413+1.3*M416*0.9*N413+S416*G413),4)</f>
        <v>2.79</v>
      </c>
      <c r="Y416" s="48">
        <f>ROUND((M416*J413+1.3*N413+S416*G413),4)</f>
        <v>14.76</v>
      </c>
      <c r="Z416" s="49">
        <f>ROUND((P413*T416*F413*O413/1000000),4)</f>
        <v>5.4999999999999997E-3</v>
      </c>
      <c r="AA416" s="49">
        <f>ROUND((Q413*U416*F413*O413/1000000),4)</f>
        <v>1E-3</v>
      </c>
      <c r="AB416" s="49">
        <f>ROUND((R413*V416*F413*O413/1000000),4)</f>
        <v>0</v>
      </c>
      <c r="AC416" s="50" t="s">
        <v>205</v>
      </c>
      <c r="AD416" s="51" t="s">
        <v>206</v>
      </c>
      <c r="AE416" s="44">
        <f>ROUND((((X416*E413)/1800)),4)</f>
        <v>1.6000000000000001E-3</v>
      </c>
      <c r="AF416" s="44">
        <f>ROUND(((Z416+AA416+AB416)),4)</f>
        <v>6.4999999999999997E-3</v>
      </c>
      <c r="AG416" s="88"/>
      <c r="AH416" s="88"/>
    </row>
    <row r="417" spans="1:34" ht="12.95" customHeight="1" x14ac:dyDescent="0.25">
      <c r="A417" s="52"/>
      <c r="B417" s="53"/>
      <c r="C417" s="52"/>
      <c r="D417" s="52"/>
      <c r="E417" s="52"/>
      <c r="F417" s="63"/>
      <c r="G417" s="52"/>
      <c r="H417" s="52"/>
      <c r="I417" s="52"/>
      <c r="J417" s="52"/>
      <c r="K417" s="52"/>
      <c r="L417" s="59">
        <v>0.05</v>
      </c>
      <c r="M417" s="59">
        <v>7.0000000000000007E-2</v>
      </c>
      <c r="N417" s="52"/>
      <c r="O417" s="52"/>
      <c r="P417" s="52"/>
      <c r="Q417" s="52"/>
      <c r="R417" s="52"/>
      <c r="S417" s="61">
        <v>0.01</v>
      </c>
      <c r="T417" s="48">
        <f>ROUND((L417*I413+1.3*L417*K413+S417*H413),4)</f>
        <v>17.4375</v>
      </c>
      <c r="U417" s="48">
        <f>ROUND((M417*0.9*I413+1.3*M417*0.9*K413+S417*H413),4)</f>
        <v>21.815300000000001</v>
      </c>
      <c r="V417" s="48">
        <f>ROUND((M417*I413+1.3*M417*K413+S417*H413),4)</f>
        <v>24.172499999999999</v>
      </c>
      <c r="W417" s="48">
        <f>ROUND((L417*J413+1.3*L417*N413+S417*G413),4)</f>
        <v>1.41</v>
      </c>
      <c r="X417" s="48">
        <f>ROUND((M417*0.9*J413+1.3*M417*0.9*N413+S417*G413),4)</f>
        <v>1.7609999999999999</v>
      </c>
      <c r="Y417" s="48">
        <f>ROUND((M417*J413+1.3*M417*N413+S417*G413),4)</f>
        <v>1.95</v>
      </c>
      <c r="Z417" s="49">
        <f>ROUND((P413*T417*F413*O413/1000000),4)</f>
        <v>3.0999999999999999E-3</v>
      </c>
      <c r="AA417" s="49">
        <f>ROUND((Q413*U417*F413*O413/1000000),4)</f>
        <v>6.9999999999999999E-4</v>
      </c>
      <c r="AB417" s="49">
        <f>ROUND((R413*V417*F413*O413/1000000),4)</f>
        <v>0</v>
      </c>
      <c r="AC417" s="50" t="s">
        <v>250</v>
      </c>
      <c r="AD417" s="51" t="s">
        <v>208</v>
      </c>
      <c r="AE417" s="44">
        <f>ROUND((((X417*E413)/1800)),4)</f>
        <v>1E-3</v>
      </c>
      <c r="AF417" s="44">
        <f>ROUND(((Z417+AA417+AB417)),4)</f>
        <v>3.8E-3</v>
      </c>
      <c r="AG417" s="88"/>
      <c r="AH417" s="88"/>
    </row>
    <row r="418" spans="1:34" ht="12.95" customHeight="1" x14ac:dyDescent="0.25">
      <c r="A418" s="52"/>
      <c r="B418" s="62"/>
      <c r="C418" s="56"/>
      <c r="D418" s="56"/>
      <c r="E418" s="56"/>
      <c r="F418" s="66"/>
      <c r="G418" s="56"/>
      <c r="H418" s="56"/>
      <c r="I418" s="56"/>
      <c r="J418" s="56"/>
      <c r="K418" s="56"/>
      <c r="L418" s="59">
        <v>3.5999999999999997E-2</v>
      </c>
      <c r="M418" s="59">
        <v>4.3999999999999997E-2</v>
      </c>
      <c r="N418" s="56"/>
      <c r="O418" s="56"/>
      <c r="P418" s="56"/>
      <c r="Q418" s="56"/>
      <c r="R418" s="56"/>
      <c r="S418" s="61">
        <v>0.45</v>
      </c>
      <c r="T418" s="48">
        <f>ROUND((L418*I413+1.3*L418*K413+S418*H413),4)</f>
        <v>39.122999999999998</v>
      </c>
      <c r="U418" s="48">
        <f>ROUND((M418*0.9*I413+1.3*M418*0.9*K413+S418*H413),4)</f>
        <v>40.335299999999997</v>
      </c>
      <c r="V418" s="48">
        <f>ROUND((M418*I413+1.3*M418*K413+S418*H413),4)</f>
        <v>41.817</v>
      </c>
      <c r="W418" s="48">
        <f>ROUND((L418*J413+1.3*L418*N413+S418*G413),4)</f>
        <v>3.6720000000000002</v>
      </c>
      <c r="X418" s="48">
        <f>ROUND((M418*0.9*J413+1.3*M418*0.9*N413+S418*G413),4)</f>
        <v>3.7692000000000001</v>
      </c>
      <c r="Y418" s="48">
        <f>ROUND((M418*J413+1.3*M418*N413+S418*G413),4)</f>
        <v>3.8879999999999999</v>
      </c>
      <c r="Z418" s="49">
        <f>ROUND((P413*T418*F413*O413/1000000),4)</f>
        <v>7.0000000000000001E-3</v>
      </c>
      <c r="AA418" s="49">
        <f>ROUND((Q413*U418*F413*O413/1000000),4)</f>
        <v>1.1999999999999999E-3</v>
      </c>
      <c r="AB418" s="49">
        <f>ROUND((R413*V418*F413*O413/1000000),4)</f>
        <v>0</v>
      </c>
      <c r="AC418" s="50" t="s">
        <v>170</v>
      </c>
      <c r="AD418" s="51" t="s">
        <v>162</v>
      </c>
      <c r="AE418" s="44">
        <f>ROUND((((X418*E413)/1800)),4)</f>
        <v>2.0999999999999999E-3</v>
      </c>
      <c r="AF418" s="44">
        <f>ROUND(((Z418+AA418+AB418)),4)</f>
        <v>8.2000000000000007E-3</v>
      </c>
      <c r="AG418" s="88"/>
      <c r="AH418" s="88"/>
    </row>
    <row r="419" spans="1:34" ht="12.95" customHeight="1" x14ac:dyDescent="0.25">
      <c r="A419" s="89"/>
      <c r="B419" s="46" t="s">
        <v>231</v>
      </c>
      <c r="C419" s="46">
        <v>6</v>
      </c>
      <c r="D419" s="45" t="s">
        <v>210</v>
      </c>
      <c r="E419" s="45">
        <v>1</v>
      </c>
      <c r="F419" s="45">
        <v>1</v>
      </c>
      <c r="G419" s="45">
        <v>6</v>
      </c>
      <c r="H419" s="45">
        <v>60</v>
      </c>
      <c r="I419" s="45">
        <f>(8-1-0.75*2)*60*F419-K419-8*0.12*60</f>
        <v>57.900000000000006</v>
      </c>
      <c r="J419" s="45">
        <v>14</v>
      </c>
      <c r="K419" s="45">
        <f>(8-1-0.75*2)*0.65*60*F419</f>
        <v>214.5</v>
      </c>
      <c r="L419" s="48">
        <v>6.47</v>
      </c>
      <c r="M419" s="48">
        <v>6.47</v>
      </c>
      <c r="N419" s="45">
        <v>10</v>
      </c>
      <c r="O419" s="45">
        <f>E419/F419</f>
        <v>1</v>
      </c>
      <c r="P419" s="45">
        <v>10</v>
      </c>
      <c r="Q419" s="45">
        <v>0</v>
      </c>
      <c r="R419" s="47">
        <v>0</v>
      </c>
      <c r="S419" s="47">
        <v>1.27</v>
      </c>
      <c r="T419" s="48">
        <f>ROUND((L419*I419+1.3*L419*K419+S419*H419),4)</f>
        <v>2254.9724999999999</v>
      </c>
      <c r="U419" s="48">
        <f>ROUND((M419*I419+1.3*M419*K419+S419*H419),4)</f>
        <v>2254.9724999999999</v>
      </c>
      <c r="V419" s="48">
        <f>ROUND((M419*I419+1.3*M419*K419+S419*H419),4)</f>
        <v>2254.9724999999999</v>
      </c>
      <c r="W419" s="48">
        <f>ROUND((L419*J419+1.3*L419*N419+S419*G419),4)</f>
        <v>182.31</v>
      </c>
      <c r="X419" s="48">
        <f>ROUND((M419*J419+1.3*M419*N419+S419*G419),4)</f>
        <v>182.31</v>
      </c>
      <c r="Y419" s="48">
        <f>ROUND((M419*J419+1.3*M419*N419+S419*G419),4)</f>
        <v>182.31</v>
      </c>
      <c r="Z419" s="49">
        <f>ROUND((P419*T419*F419*O419/1000000),4)</f>
        <v>2.2499999999999999E-2</v>
      </c>
      <c r="AA419" s="49">
        <f>ROUND((Q419*U419*F419*O419/1000000),4)</f>
        <v>0</v>
      </c>
      <c r="AB419" s="49">
        <f>ROUND((R419*V419*F419*O419/1000000),4)</f>
        <v>0</v>
      </c>
      <c r="AC419" s="50" t="s">
        <v>200</v>
      </c>
      <c r="AD419" s="51" t="s">
        <v>153</v>
      </c>
      <c r="AE419" s="44">
        <f>ROUND((((X419*E419)/1800)*0.8),4)</f>
        <v>8.1000000000000003E-2</v>
      </c>
      <c r="AF419" s="44">
        <f>ROUND(((Z419+AA419+AB419)*0.8),4)</f>
        <v>1.7999999999999999E-2</v>
      </c>
      <c r="AG419" s="88"/>
      <c r="AH419" s="88"/>
    </row>
    <row r="420" spans="1:34" ht="12.95" customHeight="1" x14ac:dyDescent="0.25">
      <c r="A420" s="89"/>
      <c r="B420" s="53" t="s">
        <v>232</v>
      </c>
      <c r="C420" s="52"/>
      <c r="D420" s="52"/>
      <c r="E420" s="52"/>
      <c r="F420" s="63"/>
      <c r="G420" s="52"/>
      <c r="H420" s="52"/>
      <c r="I420" s="52"/>
      <c r="J420" s="52"/>
      <c r="K420" s="52"/>
      <c r="L420" s="56"/>
      <c r="M420" s="56"/>
      <c r="N420" s="52"/>
      <c r="O420" s="52"/>
      <c r="P420" s="52"/>
      <c r="Q420" s="52"/>
      <c r="R420" s="52"/>
      <c r="S420" s="57"/>
      <c r="T420" s="54"/>
      <c r="U420" s="54"/>
      <c r="V420" s="54"/>
      <c r="W420" s="54"/>
      <c r="X420" s="54"/>
      <c r="Y420" s="54"/>
      <c r="Z420" s="54"/>
      <c r="AA420" s="54"/>
      <c r="AB420" s="54"/>
      <c r="AC420" s="50" t="s">
        <v>201</v>
      </c>
      <c r="AD420" s="51" t="s">
        <v>202</v>
      </c>
      <c r="AE420" s="44">
        <f>ROUND((((X419*E419)/1800)*0.13),4)</f>
        <v>1.32E-2</v>
      </c>
      <c r="AF420" s="44">
        <f>ROUND(((Z419+AA419+AB419)*0.13),4)</f>
        <v>2.8999999999999998E-3</v>
      </c>
      <c r="AG420" s="88"/>
      <c r="AH420" s="88"/>
    </row>
    <row r="421" spans="1:34" ht="12.95" customHeight="1" x14ac:dyDescent="0.25">
      <c r="A421" s="89"/>
      <c r="B421" s="67"/>
      <c r="C421" s="55"/>
      <c r="D421" s="55"/>
      <c r="E421" s="52"/>
      <c r="F421" s="63"/>
      <c r="G421" s="52"/>
      <c r="H421" s="52"/>
      <c r="I421" s="52"/>
      <c r="J421" s="52"/>
      <c r="K421" s="52"/>
      <c r="L421" s="59">
        <v>0.51</v>
      </c>
      <c r="M421" s="59">
        <v>0.63</v>
      </c>
      <c r="N421" s="52"/>
      <c r="O421" s="52"/>
      <c r="P421" s="52"/>
      <c r="Q421" s="52"/>
      <c r="R421" s="52"/>
      <c r="S421" s="60">
        <v>0.25</v>
      </c>
      <c r="T421" s="48">
        <f>ROUND((L421*I419+1.3*L421*K419+S421*H419),4)</f>
        <v>186.74250000000001</v>
      </c>
      <c r="U421" s="48">
        <f>ROUND((M421*0.9*I419+1.3*M421*0.9*K419+S421*H419),4)</f>
        <v>205.93729999999999</v>
      </c>
      <c r="V421" s="48">
        <f>ROUND((M421*I419+1.3*M421*K419+S421*H419),4)</f>
        <v>227.1525</v>
      </c>
      <c r="W421" s="48">
        <f>ROUND((L421*J419+1.3*L421*N419+S421*G419),4)</f>
        <v>15.27</v>
      </c>
      <c r="X421" s="48">
        <f>ROUND((M421*0.9*J419+1.3*M421*0.9*N419+S421*G419),4)</f>
        <v>16.809000000000001</v>
      </c>
      <c r="Y421" s="48">
        <f>ROUND((M421*J419+1.3*M421*N419+S421*G419),4)</f>
        <v>18.510000000000002</v>
      </c>
      <c r="Z421" s="49">
        <f>ROUND((P419*T421*F419*O419/1000000),4)</f>
        <v>1.9E-3</v>
      </c>
      <c r="AA421" s="49">
        <f>ROUND((Q419*U421*F419*O419/1000000),4)</f>
        <v>0</v>
      </c>
      <c r="AB421" s="49">
        <f>ROUND((R419*V421*F419*O419/1000000),4)</f>
        <v>0</v>
      </c>
      <c r="AC421" s="50" t="s">
        <v>203</v>
      </c>
      <c r="AD421" s="51" t="s">
        <v>204</v>
      </c>
      <c r="AE421" s="44">
        <f>ROUND((((X421*E419)/1800)),4)</f>
        <v>9.2999999999999992E-3</v>
      </c>
      <c r="AF421" s="44">
        <f>ROUND(((Z421+AA421+AB421)),5)</f>
        <v>1.9E-3</v>
      </c>
      <c r="AG421" s="88"/>
      <c r="AH421" s="88"/>
    </row>
    <row r="422" spans="1:34" ht="12.95" customHeight="1" x14ac:dyDescent="0.25">
      <c r="A422" s="89"/>
      <c r="B422" s="53"/>
      <c r="C422" s="52"/>
      <c r="D422" s="52"/>
      <c r="E422" s="52"/>
      <c r="F422" s="63"/>
      <c r="G422" s="52"/>
      <c r="H422" s="52"/>
      <c r="I422" s="52"/>
      <c r="J422" s="52"/>
      <c r="K422" s="52"/>
      <c r="L422" s="59">
        <v>1.1399999999999999</v>
      </c>
      <c r="M422" s="59">
        <v>1.37</v>
      </c>
      <c r="N422" s="52"/>
      <c r="O422" s="52"/>
      <c r="P422" s="52"/>
      <c r="Q422" s="52"/>
      <c r="R422" s="52"/>
      <c r="S422" s="61">
        <v>0.79</v>
      </c>
      <c r="T422" s="48">
        <f>ROUND((L422*I419+1.3*L422*K419+S422*H419),4)</f>
        <v>431.29500000000002</v>
      </c>
      <c r="U422" s="48">
        <f>ROUND((M422*0.9*I419+1.3*M422*0.9*K419+S422*H419),4)</f>
        <v>462.61279999999999</v>
      </c>
      <c r="V422" s="48">
        <f>ROUND((M422*I419+1.3*M422*K419+S422*H419),4)</f>
        <v>508.7475</v>
      </c>
      <c r="W422" s="48">
        <f>ROUND((L422*J419+1.3*L422*N419+S422*G419),4)</f>
        <v>35.520000000000003</v>
      </c>
      <c r="X422" s="48">
        <f>ROUND((M422*0.9*J419+1.3*M422*0.9*N419+S422*G419),4)</f>
        <v>38.030999999999999</v>
      </c>
      <c r="Y422" s="48">
        <f>ROUND((M422*J419+1.3*N419+S422*G419),4)</f>
        <v>36.92</v>
      </c>
      <c r="Z422" s="49">
        <f>ROUND((P419*T422*F419*O419/1000000),4)</f>
        <v>4.3E-3</v>
      </c>
      <c r="AA422" s="49">
        <f>ROUND((Q419*U422*F419*O419/1000000),4)</f>
        <v>0</v>
      </c>
      <c r="AB422" s="49">
        <f>ROUND((R419*V422*F419*O419/1000000),4)</f>
        <v>0</v>
      </c>
      <c r="AC422" s="50" t="s">
        <v>205</v>
      </c>
      <c r="AD422" s="51" t="s">
        <v>206</v>
      </c>
      <c r="AE422" s="44">
        <f>ROUND((((X422*E419)/1800)),4)</f>
        <v>2.1100000000000001E-2</v>
      </c>
      <c r="AF422" s="44">
        <f>ROUND(((Z422+AA422+AB422)),4)</f>
        <v>4.3E-3</v>
      </c>
      <c r="AG422" s="88"/>
      <c r="AH422" s="88"/>
    </row>
    <row r="423" spans="1:34" ht="12.95" customHeight="1" x14ac:dyDescent="0.25">
      <c r="A423" s="89"/>
      <c r="B423" s="53"/>
      <c r="C423" s="52"/>
      <c r="D423" s="52"/>
      <c r="E423" s="52"/>
      <c r="F423" s="63"/>
      <c r="G423" s="52"/>
      <c r="H423" s="52"/>
      <c r="I423" s="52"/>
      <c r="J423" s="52"/>
      <c r="K423" s="52"/>
      <c r="L423" s="59">
        <v>0.72</v>
      </c>
      <c r="M423" s="59">
        <v>1.08</v>
      </c>
      <c r="N423" s="52"/>
      <c r="O423" s="52"/>
      <c r="P423" s="52"/>
      <c r="Q423" s="52"/>
      <c r="R423" s="52"/>
      <c r="S423" s="61">
        <v>0.17</v>
      </c>
      <c r="T423" s="48">
        <f>ROUND((L423*I419+1.3*L423*K419+S423*H419),4)</f>
        <v>252.66</v>
      </c>
      <c r="U423" s="48">
        <f>ROUND((M423*0.9*I419+1.3*M423*0.9*K419+S423*H419),4)</f>
        <v>337.52100000000002</v>
      </c>
      <c r="V423" s="48">
        <f>ROUND((M423*I419+1.3*M423*K419+S423*H419),4)</f>
        <v>373.89</v>
      </c>
      <c r="W423" s="48">
        <f>ROUND((L423*J419+1.3*L423*N419+S423*G419),4)</f>
        <v>20.46</v>
      </c>
      <c r="X423" s="48">
        <f>ROUND((M423*0.9*J419+1.3*M423*0.9*N419+S423*G419),4)</f>
        <v>27.263999999999999</v>
      </c>
      <c r="Y423" s="48">
        <f>ROUND((M423*J419+1.3*M423*N419+S423*G419),4)</f>
        <v>30.18</v>
      </c>
      <c r="Z423" s="49">
        <f>ROUND((P419*T423*F419*O419/1000000),4)</f>
        <v>2.5000000000000001E-3</v>
      </c>
      <c r="AA423" s="49">
        <f>ROUND((Q419*U423*F419*O419/1000000),4)</f>
        <v>0</v>
      </c>
      <c r="AB423" s="49">
        <f>ROUND((R419*V423*F419*O419/1000000),4)</f>
        <v>0</v>
      </c>
      <c r="AC423" s="50" t="s">
        <v>250</v>
      </c>
      <c r="AD423" s="51" t="s">
        <v>208</v>
      </c>
      <c r="AE423" s="44">
        <f>ROUND((((X423*E419)/1800)),4)</f>
        <v>1.5100000000000001E-2</v>
      </c>
      <c r="AF423" s="44">
        <f>ROUND(((Z423+AA423+AB423)),4)</f>
        <v>2.5000000000000001E-3</v>
      </c>
      <c r="AG423" s="88"/>
      <c r="AH423" s="88"/>
    </row>
    <row r="424" spans="1:34" ht="12.95" customHeight="1" x14ac:dyDescent="0.25">
      <c r="A424" s="89"/>
      <c r="B424" s="62"/>
      <c r="C424" s="56"/>
      <c r="D424" s="56"/>
      <c r="E424" s="56"/>
      <c r="F424" s="66"/>
      <c r="G424" s="56"/>
      <c r="H424" s="56"/>
      <c r="I424" s="56"/>
      <c r="J424" s="56"/>
      <c r="K424" s="56"/>
      <c r="L424" s="59">
        <v>3.37</v>
      </c>
      <c r="M424" s="59">
        <v>4.1100000000000003</v>
      </c>
      <c r="N424" s="56"/>
      <c r="O424" s="56"/>
      <c r="P424" s="56"/>
      <c r="Q424" s="56"/>
      <c r="R424" s="56"/>
      <c r="S424" s="61">
        <v>6.31</v>
      </c>
      <c r="T424" s="48">
        <f>ROUND((L424*I419+1.3*L424*K419+S424*H419),4)</f>
        <v>1513.4475</v>
      </c>
      <c r="U424" s="48">
        <f>ROUND((M424*0.9*I419+1.3*M424*0.9*K419+S424*H419),4)</f>
        <v>1624.2383</v>
      </c>
      <c r="V424" s="48">
        <f>ROUND((M424*I419+1.3*M424*K419+S424*H419),4)</f>
        <v>1762.6424999999999</v>
      </c>
      <c r="W424" s="48">
        <f>ROUND((L424*J419+1.3*L424*N419+S424*G419),4)</f>
        <v>128.85</v>
      </c>
      <c r="X424" s="48">
        <f>ROUND((M424*0.9*J419+1.3*M424*0.9*N419+S424*G419),4)</f>
        <v>137.733</v>
      </c>
      <c r="Y424" s="48">
        <f>ROUND((M424*J419+1.3*M424*N419+S424*G419),4)</f>
        <v>148.83000000000001</v>
      </c>
      <c r="Z424" s="49">
        <f>ROUND((P419*T424*F419*O419/1000000),4)</f>
        <v>1.5100000000000001E-2</v>
      </c>
      <c r="AA424" s="49">
        <f>ROUND((Q419*U424*F419*O419/1000000),4)</f>
        <v>0</v>
      </c>
      <c r="AB424" s="49">
        <f>ROUND((R419*V424*F419*O419/1000000),4)</f>
        <v>0</v>
      </c>
      <c r="AC424" s="50" t="s">
        <v>170</v>
      </c>
      <c r="AD424" s="51" t="s">
        <v>162</v>
      </c>
      <c r="AE424" s="44">
        <f>ROUND((((X424*E419)/1800)),4)</f>
        <v>7.6499999999999999E-2</v>
      </c>
      <c r="AF424" s="44">
        <f>ROUND(((Z424+AA424+AB424)),4)</f>
        <v>1.5100000000000001E-2</v>
      </c>
      <c r="AG424" s="88"/>
      <c r="AH424" s="88"/>
    </row>
    <row r="425" spans="1:34" ht="12.95" customHeight="1" x14ac:dyDescent="0.25">
      <c r="A425" s="89"/>
      <c r="B425" s="46" t="s">
        <v>234</v>
      </c>
      <c r="C425" s="46">
        <v>6</v>
      </c>
      <c r="D425" s="45" t="s">
        <v>210</v>
      </c>
      <c r="E425" s="45">
        <v>1</v>
      </c>
      <c r="F425" s="45">
        <v>1</v>
      </c>
      <c r="G425" s="45">
        <v>6</v>
      </c>
      <c r="H425" s="45">
        <v>60</v>
      </c>
      <c r="I425" s="45">
        <f>(8-1-0.75*2)*60*F425-K425-8*0.12*60</f>
        <v>57.900000000000006</v>
      </c>
      <c r="J425" s="45">
        <v>14</v>
      </c>
      <c r="K425" s="45">
        <f>(8-1-0.75*2)*0.65*60*F425</f>
        <v>214.5</v>
      </c>
      <c r="L425" s="48">
        <v>6.47</v>
      </c>
      <c r="M425" s="48">
        <v>6.47</v>
      </c>
      <c r="N425" s="45">
        <v>10</v>
      </c>
      <c r="O425" s="45">
        <f>E425/F425</f>
        <v>1</v>
      </c>
      <c r="P425" s="45">
        <v>30</v>
      </c>
      <c r="Q425" s="45">
        <v>0</v>
      </c>
      <c r="R425" s="47">
        <v>0</v>
      </c>
      <c r="S425" s="47">
        <v>1.27</v>
      </c>
      <c r="T425" s="48">
        <f>ROUND((L425*I425+1.3*L425*K425+S425*H425),4)</f>
        <v>2254.9724999999999</v>
      </c>
      <c r="U425" s="48">
        <f>ROUND((M425*I425+1.3*M425*K425+S425*H425),4)</f>
        <v>2254.9724999999999</v>
      </c>
      <c r="V425" s="48">
        <f>ROUND((M425*I425+1.3*M425*K425+S425*H425),4)</f>
        <v>2254.9724999999999</v>
      </c>
      <c r="W425" s="48">
        <f>ROUND((L425*J425+1.3*L425*N425+S425*G425),4)</f>
        <v>182.31</v>
      </c>
      <c r="X425" s="48">
        <f>ROUND((M425*J425+1.3*M425*N425+S425*G425),4)</f>
        <v>182.31</v>
      </c>
      <c r="Y425" s="48">
        <f>ROUND((M425*J425+1.3*M425*N425+S425*G425),4)</f>
        <v>182.31</v>
      </c>
      <c r="Z425" s="49">
        <f>ROUND((P425*T425*F425*O425/1000000),4)</f>
        <v>6.7599999999999993E-2</v>
      </c>
      <c r="AA425" s="49">
        <f>ROUND((Q425*U425*F425*O425/1000000),4)</f>
        <v>0</v>
      </c>
      <c r="AB425" s="49">
        <f>ROUND((R425*V425*F425*O425/1000000),4)</f>
        <v>0</v>
      </c>
      <c r="AC425" s="50" t="s">
        <v>200</v>
      </c>
      <c r="AD425" s="51" t="s">
        <v>153</v>
      </c>
      <c r="AE425" s="44">
        <f>ROUND((((X425*E425)/1800)*0.8),4)</f>
        <v>8.1000000000000003E-2</v>
      </c>
      <c r="AF425" s="44">
        <f>ROUND(((Z425+AA425+AB425)*0.8),4)</f>
        <v>5.4100000000000002E-2</v>
      </c>
      <c r="AG425" s="88"/>
      <c r="AH425" s="88"/>
    </row>
    <row r="426" spans="1:34" ht="12.95" customHeight="1" x14ac:dyDescent="0.25">
      <c r="A426" s="89"/>
      <c r="B426" s="53" t="s">
        <v>235</v>
      </c>
      <c r="C426" s="52"/>
      <c r="D426" s="52"/>
      <c r="E426" s="52"/>
      <c r="F426" s="52"/>
      <c r="G426" s="52"/>
      <c r="H426" s="52"/>
      <c r="I426" s="52"/>
      <c r="J426" s="52"/>
      <c r="K426" s="52"/>
      <c r="L426" s="56"/>
      <c r="M426" s="56"/>
      <c r="N426" s="52"/>
      <c r="O426" s="52"/>
      <c r="P426" s="52"/>
      <c r="Q426" s="52"/>
      <c r="R426" s="52"/>
      <c r="S426" s="57"/>
      <c r="T426" s="54"/>
      <c r="U426" s="54"/>
      <c r="V426" s="54"/>
      <c r="W426" s="54"/>
      <c r="X426" s="54"/>
      <c r="Y426" s="54"/>
      <c r="Z426" s="54"/>
      <c r="AA426" s="54"/>
      <c r="AB426" s="54"/>
      <c r="AC426" s="50" t="s">
        <v>201</v>
      </c>
      <c r="AD426" s="51" t="s">
        <v>202</v>
      </c>
      <c r="AE426" s="44">
        <f>ROUND((((X425*E425)/1800)*0.13),4)</f>
        <v>1.32E-2</v>
      </c>
      <c r="AF426" s="44">
        <f>ROUND(((Z425+AA425+AB425)*0.13),4)</f>
        <v>8.8000000000000005E-3</v>
      </c>
      <c r="AG426" s="88"/>
      <c r="AH426" s="88"/>
    </row>
    <row r="427" spans="1:34" ht="12.95" customHeight="1" x14ac:dyDescent="0.25">
      <c r="A427" s="89"/>
      <c r="B427" s="67"/>
      <c r="C427" s="55"/>
      <c r="D427" s="55"/>
      <c r="E427" s="52"/>
      <c r="F427" s="52"/>
      <c r="G427" s="52"/>
      <c r="H427" s="52"/>
      <c r="I427" s="52"/>
      <c r="J427" s="52"/>
      <c r="K427" s="52"/>
      <c r="L427" s="59">
        <v>0.51</v>
      </c>
      <c r="M427" s="59">
        <v>0.63</v>
      </c>
      <c r="N427" s="52"/>
      <c r="O427" s="52"/>
      <c r="P427" s="52"/>
      <c r="Q427" s="52"/>
      <c r="R427" s="52"/>
      <c r="S427" s="60">
        <v>0.25</v>
      </c>
      <c r="T427" s="48">
        <f>ROUND((L427*I425+1.3*L427*K425+S427*H425),4)</f>
        <v>186.74250000000001</v>
      </c>
      <c r="U427" s="48">
        <f>ROUND((M427*0.9*I425+1.3*M427*0.9*K425+S427*H425),4)</f>
        <v>205.93729999999999</v>
      </c>
      <c r="V427" s="48">
        <f>ROUND((M427*I425+1.3*M427*K425+S427*H425),4)</f>
        <v>227.1525</v>
      </c>
      <c r="W427" s="48">
        <f>ROUND((L427*J425+1.3*L427*N425+S427*G425),4)</f>
        <v>15.27</v>
      </c>
      <c r="X427" s="48">
        <f>ROUND((M427*0.9*J425+1.3*M427*0.9*N425+S427*G425),4)</f>
        <v>16.809000000000001</v>
      </c>
      <c r="Y427" s="48">
        <f>ROUND((M427*J425+1.3*M427*N425+S427*G425),4)</f>
        <v>18.510000000000002</v>
      </c>
      <c r="Z427" s="49">
        <f>ROUND((P425*T427*F425*O425/1000000),4)</f>
        <v>5.5999999999999999E-3</v>
      </c>
      <c r="AA427" s="49">
        <f>ROUND((Q425*U427*F425*O425/1000000),4)</f>
        <v>0</v>
      </c>
      <c r="AB427" s="49">
        <f>ROUND((R425*V427*F425*O425/1000000),4)</f>
        <v>0</v>
      </c>
      <c r="AC427" s="50" t="s">
        <v>203</v>
      </c>
      <c r="AD427" s="51" t="s">
        <v>204</v>
      </c>
      <c r="AE427" s="44">
        <f>ROUND((((X427*E425)/1800)),4)</f>
        <v>9.2999999999999992E-3</v>
      </c>
      <c r="AF427" s="44">
        <f>ROUND(((Z427+AA427+AB427)),5)</f>
        <v>5.5999999999999999E-3</v>
      </c>
      <c r="AG427" s="88"/>
      <c r="AH427" s="88"/>
    </row>
    <row r="428" spans="1:34" ht="12.95" customHeight="1" x14ac:dyDescent="0.25">
      <c r="A428" s="89"/>
      <c r="B428" s="53"/>
      <c r="C428" s="52"/>
      <c r="D428" s="52"/>
      <c r="E428" s="52"/>
      <c r="F428" s="52"/>
      <c r="G428" s="52"/>
      <c r="H428" s="52"/>
      <c r="I428" s="52"/>
      <c r="J428" s="52"/>
      <c r="K428" s="52"/>
      <c r="L428" s="59">
        <v>1.1399999999999999</v>
      </c>
      <c r="M428" s="59">
        <v>1.37</v>
      </c>
      <c r="N428" s="52"/>
      <c r="O428" s="52"/>
      <c r="P428" s="52"/>
      <c r="Q428" s="52"/>
      <c r="R428" s="52"/>
      <c r="S428" s="61">
        <v>0.79</v>
      </c>
      <c r="T428" s="48">
        <f>ROUND((L428*I425+1.3*L428*K425+S428*H425),4)</f>
        <v>431.29500000000002</v>
      </c>
      <c r="U428" s="48">
        <f>ROUND((M428*0.9*I425+1.3*M428*0.9*K425+S428*H425),4)</f>
        <v>462.61279999999999</v>
      </c>
      <c r="V428" s="48">
        <f>ROUND((M428*I425+1.3*M428*K425+S428*H425),4)</f>
        <v>508.7475</v>
      </c>
      <c r="W428" s="48">
        <f>ROUND((L428*J425+1.3*L428*N425+S428*G425),4)</f>
        <v>35.520000000000003</v>
      </c>
      <c r="X428" s="48">
        <f>ROUND((M428*0.9*J425+1.3*M428*0.9*N425+S428*G425),4)</f>
        <v>38.030999999999999</v>
      </c>
      <c r="Y428" s="48">
        <f>ROUND((M428*J425+1.3*N425+S428*G425),4)</f>
        <v>36.92</v>
      </c>
      <c r="Z428" s="49">
        <f>ROUND((P425*T428*F425*O425/1000000),4)</f>
        <v>1.29E-2</v>
      </c>
      <c r="AA428" s="49">
        <f>ROUND((Q425*U428*F425*O425/1000000),4)</f>
        <v>0</v>
      </c>
      <c r="AB428" s="49">
        <f>ROUND((R425*V428*F425*O425/1000000),4)</f>
        <v>0</v>
      </c>
      <c r="AC428" s="50" t="s">
        <v>205</v>
      </c>
      <c r="AD428" s="51" t="s">
        <v>206</v>
      </c>
      <c r="AE428" s="44">
        <f>ROUND((((X428*E425)/1800)),4)</f>
        <v>2.1100000000000001E-2</v>
      </c>
      <c r="AF428" s="44">
        <f>ROUND(((Z428+AA428+AB428)),4)</f>
        <v>1.29E-2</v>
      </c>
      <c r="AG428" s="88"/>
      <c r="AH428" s="88"/>
    </row>
    <row r="429" spans="1:34" ht="12.95" customHeight="1" x14ac:dyDescent="0.25">
      <c r="A429" s="89"/>
      <c r="B429" s="53"/>
      <c r="C429" s="52"/>
      <c r="D429" s="52"/>
      <c r="E429" s="52"/>
      <c r="F429" s="52"/>
      <c r="G429" s="52"/>
      <c r="H429" s="52"/>
      <c r="I429" s="52"/>
      <c r="J429" s="52"/>
      <c r="K429" s="52"/>
      <c r="L429" s="59">
        <v>0.72</v>
      </c>
      <c r="M429" s="59">
        <v>1.08</v>
      </c>
      <c r="N429" s="52"/>
      <c r="O429" s="52"/>
      <c r="P429" s="52"/>
      <c r="Q429" s="52"/>
      <c r="R429" s="52"/>
      <c r="S429" s="61">
        <v>0.17</v>
      </c>
      <c r="T429" s="48">
        <f>ROUND((L429*I425+1.3*L429*K425+S429*H425),4)</f>
        <v>252.66</v>
      </c>
      <c r="U429" s="48">
        <f>ROUND((M429*0.9*I425+1.3*M429*0.9*K425+S429*H425),4)</f>
        <v>337.52100000000002</v>
      </c>
      <c r="V429" s="48">
        <f>ROUND((M429*I425+1.3*M429*K425+S429*H425),4)</f>
        <v>373.89</v>
      </c>
      <c r="W429" s="48">
        <f>ROUND((L429*J425+1.3*L429*N425+S429*G425),4)</f>
        <v>20.46</v>
      </c>
      <c r="X429" s="48">
        <f>ROUND((M429*0.9*J425+1.3*M429*0.9*N425+S429*G425),4)</f>
        <v>27.263999999999999</v>
      </c>
      <c r="Y429" s="48">
        <f>ROUND((M429*J425+1.3*M429*N425+S429*G425),4)</f>
        <v>30.18</v>
      </c>
      <c r="Z429" s="49">
        <f>ROUND((P425*T429*F425*O425/1000000),4)</f>
        <v>7.6E-3</v>
      </c>
      <c r="AA429" s="49">
        <f>ROUND((Q425*U429*F425*O425/1000000),4)</f>
        <v>0</v>
      </c>
      <c r="AB429" s="49">
        <f>ROUND((R425*V429*F425*O425/1000000),4)</f>
        <v>0</v>
      </c>
      <c r="AC429" s="50" t="s">
        <v>250</v>
      </c>
      <c r="AD429" s="51" t="s">
        <v>208</v>
      </c>
      <c r="AE429" s="44">
        <f>ROUND((((X429*E425)/1800)),4)</f>
        <v>1.5100000000000001E-2</v>
      </c>
      <c r="AF429" s="44">
        <f>ROUND(((Z429+AA429+AB429)),4)</f>
        <v>7.6E-3</v>
      </c>
      <c r="AG429" s="88"/>
      <c r="AH429" s="88"/>
    </row>
    <row r="430" spans="1:34" ht="12.95" customHeight="1" x14ac:dyDescent="0.25">
      <c r="A430" s="89"/>
      <c r="B430" s="62"/>
      <c r="C430" s="56"/>
      <c r="D430" s="56"/>
      <c r="E430" s="56"/>
      <c r="F430" s="56"/>
      <c r="G430" s="56"/>
      <c r="H430" s="56"/>
      <c r="I430" s="56"/>
      <c r="J430" s="56"/>
      <c r="K430" s="56"/>
      <c r="L430" s="59">
        <v>3.37</v>
      </c>
      <c r="M430" s="59">
        <v>4.1100000000000003</v>
      </c>
      <c r="N430" s="56"/>
      <c r="O430" s="56"/>
      <c r="P430" s="56"/>
      <c r="Q430" s="56"/>
      <c r="R430" s="56"/>
      <c r="S430" s="61">
        <v>6.31</v>
      </c>
      <c r="T430" s="48">
        <f>ROUND((L430*I425+1.3*L430*K425+S430*H425),4)</f>
        <v>1513.4475</v>
      </c>
      <c r="U430" s="48">
        <f>ROUND((M430*0.9*I425+1.3*M430*0.9*K425+S430*H425),4)</f>
        <v>1624.2383</v>
      </c>
      <c r="V430" s="48">
        <f>ROUND((M430*I425+1.3*M430*K425+S430*H425),4)</f>
        <v>1762.6424999999999</v>
      </c>
      <c r="W430" s="48">
        <f>ROUND((L430*J425+1.3*L430*N425+S430*G425),4)</f>
        <v>128.85</v>
      </c>
      <c r="X430" s="48">
        <f>ROUND((M430*0.9*J425+1.3*M430*0.9*N425+S430*G425),4)</f>
        <v>137.733</v>
      </c>
      <c r="Y430" s="48">
        <f>ROUND((M430*J425+1.3*M430*N425+S430*G425),4)</f>
        <v>148.83000000000001</v>
      </c>
      <c r="Z430" s="49">
        <f>ROUND((P425*T430*F425*O425/1000000),4)</f>
        <v>4.5400000000000003E-2</v>
      </c>
      <c r="AA430" s="49">
        <f>ROUND((Q425*U430*F425*O425/1000000),4)</f>
        <v>0</v>
      </c>
      <c r="AB430" s="49">
        <f>ROUND((R425*V430*F425*O425/1000000),4)</f>
        <v>0</v>
      </c>
      <c r="AC430" s="50" t="s">
        <v>170</v>
      </c>
      <c r="AD430" s="51" t="s">
        <v>162</v>
      </c>
      <c r="AE430" s="44">
        <f>ROUND((((X430*E425)/1800)),4)</f>
        <v>7.6499999999999999E-2</v>
      </c>
      <c r="AF430" s="44">
        <f>ROUND(((Z430+AA430+AB430)),4)</f>
        <v>4.5400000000000003E-2</v>
      </c>
      <c r="AG430" s="88"/>
      <c r="AH430" s="88"/>
    </row>
    <row r="431" spans="1:34" ht="12.95" customHeight="1" x14ac:dyDescent="0.25">
      <c r="A431" s="52"/>
      <c r="B431" s="67" t="s">
        <v>220</v>
      </c>
      <c r="C431" s="46">
        <v>7</v>
      </c>
      <c r="D431" s="45" t="s">
        <v>217</v>
      </c>
      <c r="E431" s="45">
        <v>1</v>
      </c>
      <c r="F431" s="45">
        <v>1</v>
      </c>
      <c r="G431" s="45">
        <v>6</v>
      </c>
      <c r="H431" s="45">
        <v>60</v>
      </c>
      <c r="I431" s="45">
        <f>(8-1-0.75*2)*60*F431-K431-8*0.12*60</f>
        <v>57.900000000000006</v>
      </c>
      <c r="J431" s="45">
        <v>14</v>
      </c>
      <c r="K431" s="45">
        <f>(8-1-0.75*2)*0.65*60*F431</f>
        <v>214.5</v>
      </c>
      <c r="L431" s="48">
        <v>10.16</v>
      </c>
      <c r="M431" s="48">
        <v>10.16</v>
      </c>
      <c r="N431" s="45">
        <v>10</v>
      </c>
      <c r="O431" s="45">
        <f>E431/F431</f>
        <v>1</v>
      </c>
      <c r="P431" s="45">
        <v>15</v>
      </c>
      <c r="Q431" s="45">
        <v>15</v>
      </c>
      <c r="R431" s="47">
        <v>0</v>
      </c>
      <c r="S431" s="47">
        <v>1.99</v>
      </c>
      <c r="T431" s="48">
        <f>ROUND((L431*I431+1.3*L431*K431+S431*H431),4)</f>
        <v>3540.78</v>
      </c>
      <c r="U431" s="48">
        <f>ROUND((M431*I431+1.3*M431*K431+S431*H431),4)</f>
        <v>3540.78</v>
      </c>
      <c r="V431" s="48">
        <f>ROUND((M431*I431+1.3*M431*K431+S431*H431),4)</f>
        <v>3540.78</v>
      </c>
      <c r="W431" s="48">
        <f>ROUND((L431*J431+1.3*L431*N431+S431*G431),4)</f>
        <v>286.26</v>
      </c>
      <c r="X431" s="48">
        <f>ROUND((M431*J431+1.3*M431*N431+S431*G431),4)</f>
        <v>286.26</v>
      </c>
      <c r="Y431" s="48">
        <f>ROUND((M431*J431+1.3*M431*N431+S431*G431),4)</f>
        <v>286.26</v>
      </c>
      <c r="Z431" s="49">
        <f>ROUND((P431*T431*F431*O431/1000000),4)</f>
        <v>5.3100000000000001E-2</v>
      </c>
      <c r="AA431" s="49">
        <f>ROUND((Q431*U431*F431*O431/1000000),4)</f>
        <v>5.3100000000000001E-2</v>
      </c>
      <c r="AB431" s="49">
        <f>ROUND((R431*V431*F431*O431/1000000),4)</f>
        <v>0</v>
      </c>
      <c r="AC431" s="50" t="s">
        <v>200</v>
      </c>
      <c r="AD431" s="51" t="s">
        <v>153</v>
      </c>
      <c r="AE431" s="44">
        <f>ROUND((((X431*E431)/1800)*0.8),4)</f>
        <v>0.12720000000000001</v>
      </c>
      <c r="AF431" s="44">
        <f>ROUND(((Z431+AA431+AB431)*0.8),4)</f>
        <v>8.5000000000000006E-2</v>
      </c>
    </row>
    <row r="432" spans="1:34" ht="12.95" customHeight="1" x14ac:dyDescent="0.25">
      <c r="A432" s="52"/>
      <c r="B432" s="53" t="s">
        <v>221</v>
      </c>
      <c r="C432" s="52"/>
      <c r="D432" s="52"/>
      <c r="E432" s="52"/>
      <c r="F432" s="52"/>
      <c r="G432" s="52"/>
      <c r="H432" s="52"/>
      <c r="I432" s="52"/>
      <c r="J432" s="52"/>
      <c r="K432" s="52"/>
      <c r="L432" s="56"/>
      <c r="M432" s="56"/>
      <c r="N432" s="52"/>
      <c r="O432" s="52"/>
      <c r="P432" s="52"/>
      <c r="Q432" s="52"/>
      <c r="R432" s="52"/>
      <c r="S432" s="57"/>
      <c r="T432" s="54"/>
      <c r="U432" s="54"/>
      <c r="V432" s="54"/>
      <c r="W432" s="54"/>
      <c r="X432" s="54"/>
      <c r="Y432" s="54"/>
      <c r="Z432" s="54"/>
      <c r="AA432" s="54"/>
      <c r="AB432" s="54"/>
      <c r="AC432" s="50" t="s">
        <v>201</v>
      </c>
      <c r="AD432" s="51" t="s">
        <v>202</v>
      </c>
      <c r="AE432" s="44">
        <f>ROUND((((X431*E431)/1800)*0.13),4)</f>
        <v>2.07E-2</v>
      </c>
      <c r="AF432" s="44">
        <f>ROUND(((Z431+AA431+AB431)*0.13),4)</f>
        <v>1.38E-2</v>
      </c>
    </row>
    <row r="433" spans="1:32" ht="12.95" customHeight="1" x14ac:dyDescent="0.25">
      <c r="A433" s="52"/>
      <c r="B433" s="88"/>
      <c r="C433" s="55"/>
      <c r="D433" s="55"/>
      <c r="E433" s="52"/>
      <c r="F433" s="52"/>
      <c r="G433" s="52"/>
      <c r="H433" s="52"/>
      <c r="I433" s="52"/>
      <c r="J433" s="52"/>
      <c r="K433" s="52"/>
      <c r="L433" s="59">
        <v>0.8</v>
      </c>
      <c r="M433" s="59">
        <v>0.98</v>
      </c>
      <c r="N433" s="52"/>
      <c r="O433" s="52"/>
      <c r="P433" s="52"/>
      <c r="Q433" s="52"/>
      <c r="R433" s="52"/>
      <c r="S433" s="60">
        <v>0.39</v>
      </c>
      <c r="T433" s="48">
        <f>ROUND((L433*I431+1.3*L433*K431+S433*H431),4)</f>
        <v>292.8</v>
      </c>
      <c r="U433" s="48">
        <f>ROUND((M433*0.9*I431+1.3*M433*0.9*K431+S433*H431),4)</f>
        <v>320.4135</v>
      </c>
      <c r="V433" s="48">
        <f>ROUND((M433*I431+1.3*M433*K431+S433*H431),4)</f>
        <v>353.41500000000002</v>
      </c>
      <c r="W433" s="48">
        <f>ROUND((L433*J431+1.3*L433*N431+S433*G431),4)</f>
        <v>23.94</v>
      </c>
      <c r="X433" s="48">
        <f>ROUND((M433*0.9*J431+1.3*M433*0.9*N431+S433*G431),4)</f>
        <v>26.154</v>
      </c>
      <c r="Y433" s="48">
        <f>ROUND((M433*J431+1.3*M433*N431+S433*G431),4)</f>
        <v>28.8</v>
      </c>
      <c r="Z433" s="49">
        <f>ROUND((P431*T433*F431*O431/1000000),4)</f>
        <v>4.4000000000000003E-3</v>
      </c>
      <c r="AA433" s="49">
        <f>ROUND((Q431*U433*F431*O431/1000000),4)</f>
        <v>4.7999999999999996E-3</v>
      </c>
      <c r="AB433" s="49">
        <f>ROUND((R431*V433*F431*O431/1000000),4)</f>
        <v>0</v>
      </c>
      <c r="AC433" s="50" t="s">
        <v>203</v>
      </c>
      <c r="AD433" s="51" t="s">
        <v>204</v>
      </c>
      <c r="AE433" s="44">
        <f>ROUND((((X433*E431)/1800)),4)</f>
        <v>1.4500000000000001E-2</v>
      </c>
      <c r="AF433" s="44">
        <f>ROUND(((Z433+AA433+AB433)),5)</f>
        <v>9.1999999999999998E-3</v>
      </c>
    </row>
    <row r="434" spans="1:32" ht="12.95" customHeight="1" x14ac:dyDescent="0.25">
      <c r="A434" s="52"/>
      <c r="B434" s="88"/>
      <c r="C434" s="52"/>
      <c r="D434" s="52"/>
      <c r="E434" s="52"/>
      <c r="F434" s="52"/>
      <c r="G434" s="52"/>
      <c r="H434" s="52"/>
      <c r="I434" s="52"/>
      <c r="J434" s="52"/>
      <c r="K434" s="52"/>
      <c r="L434" s="59">
        <v>1.79</v>
      </c>
      <c r="M434" s="59">
        <v>2.15</v>
      </c>
      <c r="N434" s="52"/>
      <c r="O434" s="52"/>
      <c r="P434" s="52"/>
      <c r="Q434" s="52"/>
      <c r="R434" s="52"/>
      <c r="S434" s="61">
        <v>1.24</v>
      </c>
      <c r="T434" s="48">
        <f>ROUND((L434*I431+1.3*L434*K431+S434*H431),4)</f>
        <v>677.1825</v>
      </c>
      <c r="U434" s="48">
        <f>ROUND((M434*0.9*I431+1.3*M434*0.9*K431+S434*H431),4)</f>
        <v>726.01130000000001</v>
      </c>
      <c r="V434" s="48">
        <f>ROUND((M434*I431+1.3*M434*K431+S434*H431),4)</f>
        <v>798.41250000000002</v>
      </c>
      <c r="W434" s="48">
        <f>ROUND((L434*J431+1.3*L434*N431+S434*G431),4)</f>
        <v>55.77</v>
      </c>
      <c r="X434" s="48">
        <f>ROUND((M434*0.9*J431+1.3*M434*0.9*N431+S434*G431),4)</f>
        <v>59.685000000000002</v>
      </c>
      <c r="Y434" s="48">
        <f>ROUND((M434*J431+1.3*N431+S434*G431),4)</f>
        <v>50.54</v>
      </c>
      <c r="Z434" s="49">
        <f>ROUND((P431*T434*F431*O431/1000000),4)</f>
        <v>1.0200000000000001E-2</v>
      </c>
      <c r="AA434" s="49">
        <f>ROUND((Q431*U434*F431*O431/1000000),4)</f>
        <v>1.09E-2</v>
      </c>
      <c r="AB434" s="49">
        <f>ROUND((R431*V434*F431*O431/1000000),4)</f>
        <v>0</v>
      </c>
      <c r="AC434" s="50" t="s">
        <v>205</v>
      </c>
      <c r="AD434" s="51" t="s">
        <v>206</v>
      </c>
      <c r="AE434" s="44">
        <f>ROUND((((X434*E431)/1800)),4)</f>
        <v>3.32E-2</v>
      </c>
      <c r="AF434" s="44">
        <f>ROUND(((Z434+AA434+AB434)),4)</f>
        <v>2.1100000000000001E-2</v>
      </c>
    </row>
    <row r="435" spans="1:32" ht="12.95" customHeight="1" x14ac:dyDescent="0.25">
      <c r="A435" s="52"/>
      <c r="B435" s="53"/>
      <c r="C435" s="52"/>
      <c r="D435" s="52"/>
      <c r="E435" s="52"/>
      <c r="F435" s="52"/>
      <c r="G435" s="52"/>
      <c r="H435" s="52"/>
      <c r="I435" s="52"/>
      <c r="J435" s="52"/>
      <c r="K435" s="52"/>
      <c r="L435" s="59">
        <v>1.1299999999999999</v>
      </c>
      <c r="M435" s="59">
        <v>1.7</v>
      </c>
      <c r="N435" s="52"/>
      <c r="O435" s="52"/>
      <c r="P435" s="52"/>
      <c r="Q435" s="52"/>
      <c r="R435" s="52"/>
      <c r="S435" s="61">
        <v>0.26</v>
      </c>
      <c r="T435" s="48">
        <f>ROUND((L435*I431+1.3*L435*K431+S435*H431),4)</f>
        <v>396.1275</v>
      </c>
      <c r="U435" s="48">
        <f>ROUND((M435*0.9*I431+1.3*M435*0.9*K431+S435*H431),4)</f>
        <v>530.82749999999999</v>
      </c>
      <c r="V435" s="48">
        <f>ROUND((M435*I431+1.3*M435*K431+S435*H431),4)</f>
        <v>588.07500000000005</v>
      </c>
      <c r="W435" s="48">
        <f>ROUND((L435*J431+1.3*L435*N431+S435*G431),4)</f>
        <v>32.07</v>
      </c>
      <c r="X435" s="48">
        <f>ROUND((M435*0.9*J431+1.3*M435*0.9*N431+S435*G431),4)</f>
        <v>42.87</v>
      </c>
      <c r="Y435" s="48">
        <f>ROUND((M435*J431+1.3*M435*N431+S435*G431),4)</f>
        <v>47.46</v>
      </c>
      <c r="Z435" s="49">
        <f>ROUND((P431*T435*F431*O431/1000000),4)</f>
        <v>5.8999999999999999E-3</v>
      </c>
      <c r="AA435" s="49">
        <f>ROUND((Q431*U435*F431*O431/1000000),4)</f>
        <v>8.0000000000000002E-3</v>
      </c>
      <c r="AB435" s="49">
        <f>ROUND((R431*V435*F431*O431/1000000),4)</f>
        <v>0</v>
      </c>
      <c r="AC435" s="50" t="s">
        <v>250</v>
      </c>
      <c r="AD435" s="51" t="s">
        <v>208</v>
      </c>
      <c r="AE435" s="44">
        <f>ROUND((((X435*E431)/1800)),4)</f>
        <v>2.3800000000000002E-2</v>
      </c>
      <c r="AF435" s="44">
        <f>ROUND(((Z435+AA435+AB435)),4)</f>
        <v>1.3899999999999999E-2</v>
      </c>
    </row>
    <row r="436" spans="1:32" ht="12.95" customHeight="1" x14ac:dyDescent="0.25">
      <c r="A436" s="52"/>
      <c r="B436" s="62"/>
      <c r="C436" s="56"/>
      <c r="D436" s="56"/>
      <c r="E436" s="56"/>
      <c r="F436" s="56"/>
      <c r="G436" s="56"/>
      <c r="H436" s="56"/>
      <c r="I436" s="56"/>
      <c r="J436" s="56"/>
      <c r="K436" s="56"/>
      <c r="L436" s="59">
        <v>5.3</v>
      </c>
      <c r="M436" s="59">
        <v>6.47</v>
      </c>
      <c r="N436" s="56"/>
      <c r="O436" s="56"/>
      <c r="P436" s="56"/>
      <c r="Q436" s="56"/>
      <c r="R436" s="56"/>
      <c r="S436" s="61">
        <v>9.92</v>
      </c>
      <c r="T436" s="48">
        <f>ROUND((L436*I431+1.3*L436*K431+S436*H431),4)</f>
        <v>2379.9749999999999</v>
      </c>
      <c r="U436" s="48">
        <f>ROUND((M436*0.9*I431+1.3*M436*0.9*K431+S436*H431),4)</f>
        <v>2556.0953</v>
      </c>
      <c r="V436" s="48">
        <f>ROUND((M436*I431+1.3*M436*K431+S436*H431),4)</f>
        <v>2773.9724999999999</v>
      </c>
      <c r="W436" s="48">
        <f>ROUND((L436*J431+1.3*L436*N431+S436*G431),4)</f>
        <v>202.62</v>
      </c>
      <c r="X436" s="48">
        <f>ROUND((M436*0.9*J431+1.3*M436*0.9*N431+S436*G431),4)</f>
        <v>216.74100000000001</v>
      </c>
      <c r="Y436" s="48">
        <f>ROUND((M436*J431+1.3*M436*N431+S436*G431),4)</f>
        <v>234.21</v>
      </c>
      <c r="Z436" s="49">
        <f>ROUND((P431*T436*F431*O431/1000000),4)</f>
        <v>3.5700000000000003E-2</v>
      </c>
      <c r="AA436" s="49">
        <f>ROUND((Q431*U436*F431*O431/1000000),4)</f>
        <v>3.8300000000000001E-2</v>
      </c>
      <c r="AB436" s="49">
        <f>ROUND((R431*V436*F431*O431/1000000),4)</f>
        <v>0</v>
      </c>
      <c r="AC436" s="50" t="s">
        <v>170</v>
      </c>
      <c r="AD436" s="51" t="s">
        <v>162</v>
      </c>
      <c r="AE436" s="44">
        <f>ROUND((((X436*E431)/1800)),4)</f>
        <v>0.12039999999999999</v>
      </c>
      <c r="AF436" s="44">
        <f>ROUND(((Z436+AA436+AB436)),4)</f>
        <v>7.3999999999999996E-2</v>
      </c>
    </row>
    <row r="437" spans="1:32" ht="12.95" customHeight="1" x14ac:dyDescent="0.25">
      <c r="A437" s="89"/>
      <c r="B437" s="46" t="s">
        <v>236</v>
      </c>
      <c r="C437" s="46">
        <v>6</v>
      </c>
      <c r="D437" s="45" t="s">
        <v>210</v>
      </c>
      <c r="E437" s="45">
        <v>1</v>
      </c>
      <c r="F437" s="45">
        <v>1</v>
      </c>
      <c r="G437" s="45">
        <v>6</v>
      </c>
      <c r="H437" s="45">
        <v>60</v>
      </c>
      <c r="I437" s="45">
        <f>(8-1-0.75*2)*60*F437-K437-8*0.12*60</f>
        <v>57.900000000000006</v>
      </c>
      <c r="J437" s="45">
        <v>14</v>
      </c>
      <c r="K437" s="45">
        <f>(8-1-0.75*2)*0.65*60*F437</f>
        <v>214.5</v>
      </c>
      <c r="L437" s="48">
        <v>6.47</v>
      </c>
      <c r="M437" s="48">
        <v>6.47</v>
      </c>
      <c r="N437" s="45">
        <v>10</v>
      </c>
      <c r="O437" s="45">
        <f>E437/F437</f>
        <v>1</v>
      </c>
      <c r="P437" s="45">
        <v>15</v>
      </c>
      <c r="Q437" s="45">
        <v>15</v>
      </c>
      <c r="R437" s="47">
        <v>0</v>
      </c>
      <c r="S437" s="47">
        <v>1.27</v>
      </c>
      <c r="T437" s="48">
        <f>ROUND((L437*I437+1.3*L437*K437+S437*H437),4)</f>
        <v>2254.9724999999999</v>
      </c>
      <c r="U437" s="48">
        <f>ROUND((M437*I437+1.3*M437*K437+S437*H437),4)</f>
        <v>2254.9724999999999</v>
      </c>
      <c r="V437" s="48">
        <f>ROUND((M437*I437+1.3*M437*K437+S437*H437),4)</f>
        <v>2254.9724999999999</v>
      </c>
      <c r="W437" s="48">
        <f>ROUND((L437*J437+1.3*L437*N437+S437*G437),4)</f>
        <v>182.31</v>
      </c>
      <c r="X437" s="48">
        <f>ROUND((M437*J437+1.3*M437*N437+S437*G437),4)</f>
        <v>182.31</v>
      </c>
      <c r="Y437" s="48">
        <f>ROUND((M437*J437+1.3*M437*N437+S437*G437),4)</f>
        <v>182.31</v>
      </c>
      <c r="Z437" s="49">
        <f>ROUND((P437*T437*F437*O437/1000000),4)</f>
        <v>3.3799999999999997E-2</v>
      </c>
      <c r="AA437" s="49">
        <f>ROUND((Q437*U437*F437*O437/1000000),4)</f>
        <v>3.3799999999999997E-2</v>
      </c>
      <c r="AB437" s="49">
        <f>ROUND((R437*V437*F437*O437/1000000),4)</f>
        <v>0</v>
      </c>
      <c r="AC437" s="50" t="s">
        <v>200</v>
      </c>
      <c r="AD437" s="51" t="s">
        <v>153</v>
      </c>
      <c r="AE437" s="44">
        <f>ROUND((((X437*E437)/1800)*0.8),4)</f>
        <v>8.1000000000000003E-2</v>
      </c>
      <c r="AF437" s="44">
        <f>ROUND(((Z437+AA437+AB437)*0.8),4)</f>
        <v>5.4100000000000002E-2</v>
      </c>
    </row>
    <row r="438" spans="1:32" ht="12.95" customHeight="1" x14ac:dyDescent="0.25">
      <c r="A438" s="89"/>
      <c r="B438" s="53" t="s">
        <v>237</v>
      </c>
      <c r="C438" s="52"/>
      <c r="D438" s="52"/>
      <c r="E438" s="52"/>
      <c r="F438" s="63"/>
      <c r="G438" s="52"/>
      <c r="H438" s="52"/>
      <c r="I438" s="52"/>
      <c r="J438" s="52"/>
      <c r="K438" s="52"/>
      <c r="L438" s="56"/>
      <c r="M438" s="56"/>
      <c r="N438" s="52"/>
      <c r="O438" s="52"/>
      <c r="P438" s="52"/>
      <c r="Q438" s="52"/>
      <c r="R438" s="52"/>
      <c r="S438" s="57"/>
      <c r="T438" s="54"/>
      <c r="U438" s="54"/>
      <c r="V438" s="54"/>
      <c r="W438" s="54"/>
      <c r="X438" s="54"/>
      <c r="Y438" s="54"/>
      <c r="Z438" s="54"/>
      <c r="AA438" s="54"/>
      <c r="AB438" s="54"/>
      <c r="AC438" s="50" t="s">
        <v>201</v>
      </c>
      <c r="AD438" s="51" t="s">
        <v>202</v>
      </c>
      <c r="AE438" s="44">
        <f>ROUND((((X437*E437)/1800)*0.13),4)</f>
        <v>1.32E-2</v>
      </c>
      <c r="AF438" s="44">
        <f>ROUND(((Z437+AA437+AB437)*0.13),4)</f>
        <v>8.8000000000000005E-3</v>
      </c>
    </row>
    <row r="439" spans="1:32" ht="12.95" customHeight="1" x14ac:dyDescent="0.25">
      <c r="A439" s="89"/>
      <c r="B439" s="67"/>
      <c r="C439" s="55"/>
      <c r="D439" s="55"/>
      <c r="E439" s="52"/>
      <c r="F439" s="63"/>
      <c r="G439" s="52"/>
      <c r="H439" s="52"/>
      <c r="I439" s="52"/>
      <c r="J439" s="52"/>
      <c r="K439" s="52"/>
      <c r="L439" s="59">
        <v>0.51</v>
      </c>
      <c r="M439" s="59">
        <v>0.63</v>
      </c>
      <c r="N439" s="52"/>
      <c r="O439" s="52"/>
      <c r="P439" s="52"/>
      <c r="Q439" s="52"/>
      <c r="R439" s="52"/>
      <c r="S439" s="60">
        <v>0.25</v>
      </c>
      <c r="T439" s="48">
        <f>ROUND((L439*I437+1.3*L439*K437+S439*H437),4)</f>
        <v>186.74250000000001</v>
      </c>
      <c r="U439" s="48">
        <f>ROUND((M439*0.9*I437+1.3*M439*0.9*K437+S439*H437),4)</f>
        <v>205.93729999999999</v>
      </c>
      <c r="V439" s="48">
        <f>ROUND((M439*I437+1.3*M439*K437+S439*H437),4)</f>
        <v>227.1525</v>
      </c>
      <c r="W439" s="48">
        <f>ROUND((L439*J437+1.3*L439*N437+S439*G437),4)</f>
        <v>15.27</v>
      </c>
      <c r="X439" s="48">
        <f>ROUND((M439*0.9*J437+1.3*M439*0.9*N437+S439*G437),4)</f>
        <v>16.809000000000001</v>
      </c>
      <c r="Y439" s="48">
        <f>ROUND((M439*J437+1.3*M439*N437+S439*G437),4)</f>
        <v>18.510000000000002</v>
      </c>
      <c r="Z439" s="49">
        <f>ROUND((P437*T439*F437*O437/1000000),4)</f>
        <v>2.8E-3</v>
      </c>
      <c r="AA439" s="49">
        <f>ROUND((Q437*U439*F437*O437/1000000),4)</f>
        <v>3.0999999999999999E-3</v>
      </c>
      <c r="AB439" s="49">
        <f>ROUND((R437*V439*F437*O437/1000000),4)</f>
        <v>0</v>
      </c>
      <c r="AC439" s="50" t="s">
        <v>203</v>
      </c>
      <c r="AD439" s="51" t="s">
        <v>204</v>
      </c>
      <c r="AE439" s="44">
        <f>ROUND((((X439*E437)/1800)),4)</f>
        <v>9.2999999999999992E-3</v>
      </c>
      <c r="AF439" s="44">
        <f>ROUND(((Z439+AA439+AB439)),5)</f>
        <v>5.8999999999999999E-3</v>
      </c>
    </row>
    <row r="440" spans="1:32" ht="12.95" customHeight="1" x14ac:dyDescent="0.25">
      <c r="A440" s="89"/>
      <c r="B440" s="53"/>
      <c r="C440" s="52"/>
      <c r="D440" s="52"/>
      <c r="E440" s="52"/>
      <c r="F440" s="63"/>
      <c r="G440" s="52"/>
      <c r="H440" s="52"/>
      <c r="I440" s="52"/>
      <c r="J440" s="52"/>
      <c r="K440" s="52"/>
      <c r="L440" s="59">
        <v>1.1399999999999999</v>
      </c>
      <c r="M440" s="59">
        <v>1.37</v>
      </c>
      <c r="N440" s="52"/>
      <c r="O440" s="52"/>
      <c r="P440" s="52"/>
      <c r="Q440" s="52"/>
      <c r="R440" s="52"/>
      <c r="S440" s="61">
        <v>0.79</v>
      </c>
      <c r="T440" s="48">
        <f>ROUND((L440*I437+1.3*L440*K437+S440*H437),4)</f>
        <v>431.29500000000002</v>
      </c>
      <c r="U440" s="48">
        <f>ROUND((M440*0.9*I437+1.3*M440*0.9*K437+S440*H437),4)</f>
        <v>462.61279999999999</v>
      </c>
      <c r="V440" s="48">
        <f>ROUND((M440*I437+1.3*M440*K437+S440*H437),4)</f>
        <v>508.7475</v>
      </c>
      <c r="W440" s="48">
        <f>ROUND((L440*J437+1.3*L440*N437+S440*G437),4)</f>
        <v>35.520000000000003</v>
      </c>
      <c r="X440" s="48">
        <f>ROUND((M440*0.9*J437+1.3*M440*0.9*N437+S440*G437),4)</f>
        <v>38.030999999999999</v>
      </c>
      <c r="Y440" s="48">
        <f>ROUND((M440*J437+1.3*N437+S440*G437),4)</f>
        <v>36.92</v>
      </c>
      <c r="Z440" s="49">
        <f>ROUND((P437*T440*F437*O437/1000000),4)</f>
        <v>6.4999999999999997E-3</v>
      </c>
      <c r="AA440" s="49">
        <f>ROUND((Q437*U440*F437*O437/1000000),4)</f>
        <v>6.8999999999999999E-3</v>
      </c>
      <c r="AB440" s="49">
        <f>ROUND((R437*V440*F437*O437/1000000),4)</f>
        <v>0</v>
      </c>
      <c r="AC440" s="50" t="s">
        <v>205</v>
      </c>
      <c r="AD440" s="51" t="s">
        <v>206</v>
      </c>
      <c r="AE440" s="44">
        <f>ROUND((((X440*E437)/1800)),4)</f>
        <v>2.1100000000000001E-2</v>
      </c>
      <c r="AF440" s="44">
        <f>ROUND(((Z440+AA440+AB440)),4)</f>
        <v>1.34E-2</v>
      </c>
    </row>
    <row r="441" spans="1:32" ht="12.95" customHeight="1" x14ac:dyDescent="0.25">
      <c r="A441" s="89"/>
      <c r="B441" s="53"/>
      <c r="C441" s="52"/>
      <c r="D441" s="52"/>
      <c r="E441" s="52"/>
      <c r="F441" s="63"/>
      <c r="G441" s="52"/>
      <c r="H441" s="52"/>
      <c r="I441" s="52"/>
      <c r="J441" s="52"/>
      <c r="K441" s="52"/>
      <c r="L441" s="59">
        <v>0.72</v>
      </c>
      <c r="M441" s="59">
        <v>1.08</v>
      </c>
      <c r="N441" s="52"/>
      <c r="O441" s="52"/>
      <c r="P441" s="52"/>
      <c r="Q441" s="52"/>
      <c r="R441" s="52"/>
      <c r="S441" s="61">
        <v>0.17</v>
      </c>
      <c r="T441" s="48">
        <f>ROUND((L441*I437+1.3*L441*K437+S441*H437),4)</f>
        <v>252.66</v>
      </c>
      <c r="U441" s="48">
        <f>ROUND((M441*0.9*I437+1.3*M441*0.9*K437+S441*H437),4)</f>
        <v>337.52100000000002</v>
      </c>
      <c r="V441" s="48">
        <f>ROUND((M441*I437+1.3*M441*K437+S441*H437),4)</f>
        <v>373.89</v>
      </c>
      <c r="W441" s="48">
        <f>ROUND((L441*J437+1.3*L441*N437+S441*G437),4)</f>
        <v>20.46</v>
      </c>
      <c r="X441" s="48">
        <f>ROUND((M441*0.9*J437+1.3*M441*0.9*N437+S441*G437),4)</f>
        <v>27.263999999999999</v>
      </c>
      <c r="Y441" s="48">
        <f>ROUND((M441*J437+1.3*M441*N437+S441*G437),4)</f>
        <v>30.18</v>
      </c>
      <c r="Z441" s="49">
        <f>ROUND((P437*T441*F437*O437/1000000),4)</f>
        <v>3.8E-3</v>
      </c>
      <c r="AA441" s="49">
        <f>ROUND((Q437*U441*F437*O437/1000000),4)</f>
        <v>5.1000000000000004E-3</v>
      </c>
      <c r="AB441" s="49">
        <f>ROUND((R437*V441*F437*O437/1000000),4)</f>
        <v>0</v>
      </c>
      <c r="AC441" s="50" t="s">
        <v>250</v>
      </c>
      <c r="AD441" s="51" t="s">
        <v>208</v>
      </c>
      <c r="AE441" s="44">
        <f>ROUND((((X441*E437)/1800)),4)</f>
        <v>1.5100000000000001E-2</v>
      </c>
      <c r="AF441" s="44">
        <f>ROUND(((Z441+AA441+AB441)),4)</f>
        <v>8.8999999999999999E-3</v>
      </c>
    </row>
    <row r="442" spans="1:32" ht="12.95" customHeight="1" x14ac:dyDescent="0.25">
      <c r="A442" s="89"/>
      <c r="B442" s="62"/>
      <c r="C442" s="56"/>
      <c r="D442" s="56"/>
      <c r="E442" s="56"/>
      <c r="F442" s="66"/>
      <c r="G442" s="56"/>
      <c r="H442" s="56"/>
      <c r="I442" s="56"/>
      <c r="J442" s="56"/>
      <c r="K442" s="56"/>
      <c r="L442" s="59">
        <v>3.37</v>
      </c>
      <c r="M442" s="59">
        <v>4.1100000000000003</v>
      </c>
      <c r="N442" s="56"/>
      <c r="O442" s="56"/>
      <c r="P442" s="56"/>
      <c r="Q442" s="56"/>
      <c r="R442" s="56"/>
      <c r="S442" s="61">
        <v>6.31</v>
      </c>
      <c r="T442" s="48">
        <f>ROUND((L442*I437+1.3*L442*K437+S442*H437),4)</f>
        <v>1513.4475</v>
      </c>
      <c r="U442" s="48">
        <f>ROUND((M442*0.9*I437+1.3*M442*0.9*K437+S442*H437),4)</f>
        <v>1624.2383</v>
      </c>
      <c r="V442" s="48">
        <f>ROUND((M442*I437+1.3*M442*K437+S442*H437),4)</f>
        <v>1762.6424999999999</v>
      </c>
      <c r="W442" s="48">
        <f>ROUND((L442*J437+1.3*L442*N437+S442*G437),4)</f>
        <v>128.85</v>
      </c>
      <c r="X442" s="48">
        <f>ROUND((M442*0.9*J437+1.3*M442*0.9*N437+S442*G437),4)</f>
        <v>137.733</v>
      </c>
      <c r="Y442" s="48">
        <f>ROUND((M442*J437+1.3*M442*N437+S442*G437),4)</f>
        <v>148.83000000000001</v>
      </c>
      <c r="Z442" s="49">
        <f>ROUND((P437*T442*F437*O437/1000000),4)</f>
        <v>2.2700000000000001E-2</v>
      </c>
      <c r="AA442" s="49">
        <f>ROUND((Q437*U442*F437*O437/1000000),4)</f>
        <v>2.4400000000000002E-2</v>
      </c>
      <c r="AB442" s="49">
        <f>ROUND((R437*V442*F437*O437/1000000),4)</f>
        <v>0</v>
      </c>
      <c r="AC442" s="50" t="s">
        <v>170</v>
      </c>
      <c r="AD442" s="51" t="s">
        <v>162</v>
      </c>
      <c r="AE442" s="44">
        <f>ROUND((((X442*E437)/1800)),4)</f>
        <v>7.6499999999999999E-2</v>
      </c>
      <c r="AF442" s="44">
        <f>ROUND(((Z442+AA442+AB442)),4)</f>
        <v>4.7100000000000003E-2</v>
      </c>
    </row>
    <row r="443" spans="1:32" ht="12.95" customHeight="1" x14ac:dyDescent="0.25">
      <c r="A443" s="89"/>
      <c r="B443" s="46" t="s">
        <v>240</v>
      </c>
      <c r="C443" s="46">
        <v>6</v>
      </c>
      <c r="D443" s="45" t="s">
        <v>210</v>
      </c>
      <c r="E443" s="45">
        <v>1</v>
      </c>
      <c r="F443" s="45">
        <v>1</v>
      </c>
      <c r="G443" s="45">
        <v>6</v>
      </c>
      <c r="H443" s="45">
        <v>60</v>
      </c>
      <c r="I443" s="45">
        <f>(8-1-0.75*2)*60*F443-K443-8*0.12*60</f>
        <v>57.900000000000006</v>
      </c>
      <c r="J443" s="45">
        <v>14</v>
      </c>
      <c r="K443" s="45">
        <f>(8-1-0.75*2)*0.65*60*F443</f>
        <v>214.5</v>
      </c>
      <c r="L443" s="48">
        <v>6.47</v>
      </c>
      <c r="M443" s="48">
        <v>6.47</v>
      </c>
      <c r="N443" s="45">
        <v>10</v>
      </c>
      <c r="O443" s="45">
        <f>E443/F443</f>
        <v>1</v>
      </c>
      <c r="P443" s="45">
        <v>15</v>
      </c>
      <c r="Q443" s="45">
        <v>15</v>
      </c>
      <c r="R443" s="47">
        <v>0</v>
      </c>
      <c r="S443" s="47">
        <v>1.27</v>
      </c>
      <c r="T443" s="48">
        <f>ROUND((L443*I443+1.3*L443*K443+S443*H443),4)</f>
        <v>2254.9724999999999</v>
      </c>
      <c r="U443" s="48">
        <f>ROUND((M443*I443+1.3*M443*K443+S443*H443),4)</f>
        <v>2254.9724999999999</v>
      </c>
      <c r="V443" s="48">
        <f>ROUND((M443*I443+1.3*M443*K443+S443*H443),4)</f>
        <v>2254.9724999999999</v>
      </c>
      <c r="W443" s="48">
        <f>ROUND((L443*J443+1.3*L443*N443+S443*G443),4)</f>
        <v>182.31</v>
      </c>
      <c r="X443" s="48">
        <f>ROUND((M443*J443+1.3*M443*N443+S443*G443),4)</f>
        <v>182.31</v>
      </c>
      <c r="Y443" s="48">
        <f>ROUND((M443*J443+1.3*M443*N443+S443*G443),4)</f>
        <v>182.31</v>
      </c>
      <c r="Z443" s="49">
        <f>ROUND((P443*T443*F443*O443/1000000),4)</f>
        <v>3.3799999999999997E-2</v>
      </c>
      <c r="AA443" s="49">
        <f>ROUND((Q443*U443*F443*O443/1000000),4)</f>
        <v>3.3799999999999997E-2</v>
      </c>
      <c r="AB443" s="49">
        <f>ROUND((R443*V443*F443*O443/1000000),4)</f>
        <v>0</v>
      </c>
      <c r="AC443" s="50" t="s">
        <v>200</v>
      </c>
      <c r="AD443" s="51" t="s">
        <v>153</v>
      </c>
      <c r="AE443" s="44">
        <f>ROUND((((X443*E443)/1800)*0.8),4)</f>
        <v>8.1000000000000003E-2</v>
      </c>
      <c r="AF443" s="44">
        <f>ROUND(((Z443+AA443+AB443)*0.8),4)</f>
        <v>5.4100000000000002E-2</v>
      </c>
    </row>
    <row r="444" spans="1:32" ht="12.95" customHeight="1" x14ac:dyDescent="0.25">
      <c r="A444" s="89"/>
      <c r="B444" s="53" t="s">
        <v>241</v>
      </c>
      <c r="C444" s="52"/>
      <c r="D444" s="52"/>
      <c r="E444" s="52"/>
      <c r="F444" s="52"/>
      <c r="G444" s="52"/>
      <c r="H444" s="52"/>
      <c r="I444" s="52"/>
      <c r="J444" s="52"/>
      <c r="K444" s="52"/>
      <c r="L444" s="56"/>
      <c r="M444" s="56"/>
      <c r="N444" s="52"/>
      <c r="O444" s="52"/>
      <c r="P444" s="52"/>
      <c r="Q444" s="52"/>
      <c r="R444" s="52"/>
      <c r="S444" s="57"/>
      <c r="T444" s="54"/>
      <c r="U444" s="54"/>
      <c r="V444" s="54"/>
      <c r="W444" s="54"/>
      <c r="X444" s="54"/>
      <c r="Y444" s="54"/>
      <c r="Z444" s="54"/>
      <c r="AA444" s="54"/>
      <c r="AB444" s="54"/>
      <c r="AC444" s="50" t="s">
        <v>201</v>
      </c>
      <c r="AD444" s="51" t="s">
        <v>202</v>
      </c>
      <c r="AE444" s="44">
        <f>ROUND((((X443*E443)/1800)*0.13),4)</f>
        <v>1.32E-2</v>
      </c>
      <c r="AF444" s="44">
        <f>ROUND(((Z443+AA443+AB443)*0.13),4)</f>
        <v>8.8000000000000005E-3</v>
      </c>
    </row>
    <row r="445" spans="1:32" ht="12.95" customHeight="1" x14ac:dyDescent="0.25">
      <c r="A445" s="89"/>
      <c r="B445" s="67"/>
      <c r="C445" s="55"/>
      <c r="D445" s="55"/>
      <c r="E445" s="52"/>
      <c r="F445" s="52"/>
      <c r="G445" s="52"/>
      <c r="H445" s="52"/>
      <c r="I445" s="52"/>
      <c r="J445" s="52"/>
      <c r="K445" s="52"/>
      <c r="L445" s="59">
        <v>0.51</v>
      </c>
      <c r="M445" s="59">
        <v>0.63</v>
      </c>
      <c r="N445" s="52"/>
      <c r="O445" s="52"/>
      <c r="P445" s="52"/>
      <c r="Q445" s="52"/>
      <c r="R445" s="52"/>
      <c r="S445" s="60">
        <v>0.25</v>
      </c>
      <c r="T445" s="48">
        <f>ROUND((L445*I443+1.3*L445*K443+S445*H443),4)</f>
        <v>186.74250000000001</v>
      </c>
      <c r="U445" s="48">
        <f>ROUND((M445*0.9*I443+1.3*M445*0.9*K443+S445*H443),4)</f>
        <v>205.93729999999999</v>
      </c>
      <c r="V445" s="48">
        <f>ROUND((M445*I443+1.3*M445*K443+S445*H443),4)</f>
        <v>227.1525</v>
      </c>
      <c r="W445" s="48">
        <f>ROUND((L445*J443+1.3*L445*N443+S445*G443),4)</f>
        <v>15.27</v>
      </c>
      <c r="X445" s="48">
        <f>ROUND((M445*0.9*J443+1.3*M445*0.9*N443+S445*G443),4)</f>
        <v>16.809000000000001</v>
      </c>
      <c r="Y445" s="48">
        <f>ROUND((M445*J443+1.3*M445*N443+S445*G443),4)</f>
        <v>18.510000000000002</v>
      </c>
      <c r="Z445" s="49">
        <f>ROUND((P443*T445*F443*O443/1000000),4)</f>
        <v>2.8E-3</v>
      </c>
      <c r="AA445" s="49">
        <f>ROUND((Q443*U445*F443*O443/1000000),4)</f>
        <v>3.0999999999999999E-3</v>
      </c>
      <c r="AB445" s="49">
        <f>ROUND((R443*V445*F443*O443/1000000),4)</f>
        <v>0</v>
      </c>
      <c r="AC445" s="50" t="s">
        <v>203</v>
      </c>
      <c r="AD445" s="51" t="s">
        <v>204</v>
      </c>
      <c r="AE445" s="44">
        <f>ROUND((((X445*E443)/1800)),4)</f>
        <v>9.2999999999999992E-3</v>
      </c>
      <c r="AF445" s="44">
        <f>ROUND(((Z445+AA445+AB445)),5)</f>
        <v>5.8999999999999999E-3</v>
      </c>
    </row>
    <row r="446" spans="1:32" ht="12.95" customHeight="1" x14ac:dyDescent="0.25">
      <c r="A446" s="89"/>
      <c r="B446" s="53"/>
      <c r="C446" s="52"/>
      <c r="D446" s="52"/>
      <c r="E446" s="52"/>
      <c r="F446" s="52"/>
      <c r="G446" s="52"/>
      <c r="H446" s="52"/>
      <c r="I446" s="52"/>
      <c r="J446" s="52"/>
      <c r="K446" s="52"/>
      <c r="L446" s="59">
        <v>1.1399999999999999</v>
      </c>
      <c r="M446" s="59">
        <v>1.37</v>
      </c>
      <c r="N446" s="52"/>
      <c r="O446" s="52"/>
      <c r="P446" s="52"/>
      <c r="Q446" s="52"/>
      <c r="R446" s="52"/>
      <c r="S446" s="61">
        <v>0.79</v>
      </c>
      <c r="T446" s="48">
        <f>ROUND((L446*I443+1.3*L446*K443+S446*H443),4)</f>
        <v>431.29500000000002</v>
      </c>
      <c r="U446" s="48">
        <f>ROUND((M446*0.9*I443+1.3*M446*0.9*K443+S446*H443),4)</f>
        <v>462.61279999999999</v>
      </c>
      <c r="V446" s="48">
        <f>ROUND((M446*I443+1.3*M446*K443+S446*H443),4)</f>
        <v>508.7475</v>
      </c>
      <c r="W446" s="48">
        <f>ROUND((L446*J443+1.3*L446*N443+S446*G443),4)</f>
        <v>35.520000000000003</v>
      </c>
      <c r="X446" s="48">
        <f>ROUND((M446*0.9*J443+1.3*M446*0.9*N443+S446*G443),4)</f>
        <v>38.030999999999999</v>
      </c>
      <c r="Y446" s="48">
        <f>ROUND((M446*J443+1.3*N443+S446*G443),4)</f>
        <v>36.92</v>
      </c>
      <c r="Z446" s="49">
        <f>ROUND((P443*T446*F443*O443/1000000),4)</f>
        <v>6.4999999999999997E-3</v>
      </c>
      <c r="AA446" s="49">
        <f>ROUND((Q443*U446*F443*O443/1000000),4)</f>
        <v>6.8999999999999999E-3</v>
      </c>
      <c r="AB446" s="49">
        <f>ROUND((R443*V446*F443*O443/1000000),4)</f>
        <v>0</v>
      </c>
      <c r="AC446" s="50" t="s">
        <v>205</v>
      </c>
      <c r="AD446" s="51" t="s">
        <v>206</v>
      </c>
      <c r="AE446" s="44">
        <f>ROUND((((X446*E443)/1800)),4)</f>
        <v>2.1100000000000001E-2</v>
      </c>
      <c r="AF446" s="44">
        <f>ROUND(((Z446+AA446+AB446)),4)</f>
        <v>1.34E-2</v>
      </c>
    </row>
    <row r="447" spans="1:32" ht="12.95" customHeight="1" x14ac:dyDescent="0.25">
      <c r="A447" s="89"/>
      <c r="B447" s="53"/>
      <c r="C447" s="52"/>
      <c r="D447" s="52"/>
      <c r="E447" s="52"/>
      <c r="F447" s="52"/>
      <c r="G447" s="52"/>
      <c r="H447" s="52"/>
      <c r="I447" s="52"/>
      <c r="J447" s="52"/>
      <c r="K447" s="52"/>
      <c r="L447" s="59">
        <v>0.72</v>
      </c>
      <c r="M447" s="59">
        <v>1.08</v>
      </c>
      <c r="N447" s="52"/>
      <c r="O447" s="52"/>
      <c r="P447" s="52"/>
      <c r="Q447" s="52"/>
      <c r="R447" s="52"/>
      <c r="S447" s="61">
        <v>0.17</v>
      </c>
      <c r="T447" s="48">
        <f>ROUND((L447*I443+1.3*L447*K443+S447*H443),4)</f>
        <v>252.66</v>
      </c>
      <c r="U447" s="48">
        <f>ROUND((M447*0.9*I443+1.3*M447*0.9*K443+S447*H443),4)</f>
        <v>337.52100000000002</v>
      </c>
      <c r="V447" s="48">
        <f>ROUND((M447*I443+1.3*M447*K443+S447*H443),4)</f>
        <v>373.89</v>
      </c>
      <c r="W447" s="48">
        <f>ROUND((L447*J443+1.3*L447*N443+S447*G443),4)</f>
        <v>20.46</v>
      </c>
      <c r="X447" s="48">
        <f>ROUND((M447*0.9*J443+1.3*M447*0.9*N443+S447*G443),4)</f>
        <v>27.263999999999999</v>
      </c>
      <c r="Y447" s="48">
        <f>ROUND((M447*J443+1.3*M447*N443+S447*G443),4)</f>
        <v>30.18</v>
      </c>
      <c r="Z447" s="49">
        <f>ROUND((P443*T447*F443*O443/1000000),4)</f>
        <v>3.8E-3</v>
      </c>
      <c r="AA447" s="49">
        <f>ROUND((Q443*U447*F443*O443/1000000),4)</f>
        <v>5.1000000000000004E-3</v>
      </c>
      <c r="AB447" s="49">
        <f>ROUND((R443*V447*F443*O443/1000000),4)</f>
        <v>0</v>
      </c>
      <c r="AC447" s="50" t="s">
        <v>250</v>
      </c>
      <c r="AD447" s="51" t="s">
        <v>208</v>
      </c>
      <c r="AE447" s="44">
        <f>ROUND((((X447*E443)/1800)),4)</f>
        <v>1.5100000000000001E-2</v>
      </c>
      <c r="AF447" s="44">
        <f>ROUND(((Z447+AA447+AB447)),4)</f>
        <v>8.8999999999999999E-3</v>
      </c>
    </row>
    <row r="448" spans="1:32" ht="12.95" customHeight="1" x14ac:dyDescent="0.25">
      <c r="A448" s="89"/>
      <c r="B448" s="62"/>
      <c r="C448" s="56"/>
      <c r="D448" s="56"/>
      <c r="E448" s="56"/>
      <c r="F448" s="56"/>
      <c r="G448" s="56"/>
      <c r="H448" s="56"/>
      <c r="I448" s="56"/>
      <c r="J448" s="56"/>
      <c r="K448" s="56"/>
      <c r="L448" s="59">
        <v>3.37</v>
      </c>
      <c r="M448" s="59">
        <v>4.1100000000000003</v>
      </c>
      <c r="N448" s="56"/>
      <c r="O448" s="56"/>
      <c r="P448" s="56"/>
      <c r="Q448" s="56"/>
      <c r="R448" s="56"/>
      <c r="S448" s="61">
        <v>6.31</v>
      </c>
      <c r="T448" s="48">
        <f>ROUND((L448*I443+1.3*L448*K443+S448*H443),4)</f>
        <v>1513.4475</v>
      </c>
      <c r="U448" s="48">
        <f>ROUND((M448*0.9*I443+1.3*M448*0.9*K443+S448*H443),4)</f>
        <v>1624.2383</v>
      </c>
      <c r="V448" s="48">
        <f>ROUND((M448*I443+1.3*M448*K443+S448*H443),4)</f>
        <v>1762.6424999999999</v>
      </c>
      <c r="W448" s="48">
        <f>ROUND((L448*J443+1.3*L448*N443+S448*G443),4)</f>
        <v>128.85</v>
      </c>
      <c r="X448" s="48">
        <f>ROUND((M448*0.9*J443+1.3*M448*0.9*N443+S448*G443),4)</f>
        <v>137.733</v>
      </c>
      <c r="Y448" s="48">
        <f>ROUND((M448*J443+1.3*M448*N443+S448*G443),4)</f>
        <v>148.83000000000001</v>
      </c>
      <c r="Z448" s="49">
        <f>ROUND((P443*T448*F443*O443/1000000),4)</f>
        <v>2.2700000000000001E-2</v>
      </c>
      <c r="AA448" s="49">
        <f>ROUND((Q443*U448*F443*O443/1000000),4)</f>
        <v>2.4400000000000002E-2</v>
      </c>
      <c r="AB448" s="49">
        <f>ROUND((R443*V448*F443*O443/1000000),4)</f>
        <v>0</v>
      </c>
      <c r="AC448" s="50" t="s">
        <v>170</v>
      </c>
      <c r="AD448" s="51" t="s">
        <v>162</v>
      </c>
      <c r="AE448" s="44">
        <f>ROUND((((X448*E443)/1800)),4)</f>
        <v>7.6499999999999999E-2</v>
      </c>
      <c r="AF448" s="44">
        <f>ROUND(((Z448+AA448+AB448)),4)</f>
        <v>4.7100000000000003E-2</v>
      </c>
    </row>
    <row r="449" spans="1:34" ht="12.95" customHeight="1" x14ac:dyDescent="0.25">
      <c r="A449" s="52"/>
      <c r="B449" s="67" t="s">
        <v>242</v>
      </c>
      <c r="C449" s="46">
        <v>3</v>
      </c>
      <c r="D449" s="45" t="s">
        <v>228</v>
      </c>
      <c r="E449" s="45">
        <v>1</v>
      </c>
      <c r="F449" s="45">
        <v>1</v>
      </c>
      <c r="G449" s="45">
        <v>6</v>
      </c>
      <c r="H449" s="45">
        <v>60</v>
      </c>
      <c r="I449" s="45">
        <f>(8-1-0.75*2)*60*F449-K449-8*0.12*60</f>
        <v>57.900000000000006</v>
      </c>
      <c r="J449" s="45">
        <v>14</v>
      </c>
      <c r="K449" s="45">
        <f>(8-1-0.75*2)*0.65*60*F449</f>
        <v>214.5</v>
      </c>
      <c r="L449" s="48">
        <v>1.49</v>
      </c>
      <c r="M449" s="48">
        <v>1.49</v>
      </c>
      <c r="N449" s="45">
        <v>10</v>
      </c>
      <c r="O449" s="45">
        <f>E449/F449</f>
        <v>1</v>
      </c>
      <c r="P449" s="45">
        <v>180</v>
      </c>
      <c r="Q449" s="45">
        <v>90</v>
      </c>
      <c r="R449" s="47">
        <v>30</v>
      </c>
      <c r="S449" s="47">
        <v>0.28999999999999998</v>
      </c>
      <c r="T449" s="48">
        <f>ROUND((L449*I449+1.3*L449*K449+S449*H449),4)</f>
        <v>519.15750000000003</v>
      </c>
      <c r="U449" s="48">
        <f>ROUND((M449*I449+1.3*M449*K449+S449*H449),4)</f>
        <v>519.15750000000003</v>
      </c>
      <c r="V449" s="48">
        <f>ROUND((M449*I449+1.3*M449*K449+S449*H449),4)</f>
        <v>519.15750000000003</v>
      </c>
      <c r="W449" s="48">
        <f>ROUND((L449*J449+1.3*L449*N449+S449*G449),4)</f>
        <v>41.97</v>
      </c>
      <c r="X449" s="48">
        <f>ROUND((M449*J449+1.3*M449*N449+S449*G449),4)</f>
        <v>41.97</v>
      </c>
      <c r="Y449" s="48">
        <f>ROUND((M449*J449+1.3*M449*N449+S449*G449),4)</f>
        <v>41.97</v>
      </c>
      <c r="Z449" s="49">
        <f>ROUND((P449*T449*F449*O449/1000000),4)</f>
        <v>9.3399999999999997E-2</v>
      </c>
      <c r="AA449" s="49">
        <f>ROUND((Q449*U449*F449*O449/1000000),4)</f>
        <v>4.6699999999999998E-2</v>
      </c>
      <c r="AB449" s="49">
        <f>ROUND((R449*V449*F449*O449/1000000),4)</f>
        <v>1.5599999999999999E-2</v>
      </c>
      <c r="AC449" s="50" t="s">
        <v>200</v>
      </c>
      <c r="AD449" s="51" t="s">
        <v>153</v>
      </c>
      <c r="AE449" s="44">
        <f>ROUND((((X449*E449)/1800)*0.8),4)</f>
        <v>1.8700000000000001E-2</v>
      </c>
      <c r="AF449" s="44">
        <f>ROUND(((Z449+AA449+AB449)*0.8),4)</f>
        <v>0.1246</v>
      </c>
      <c r="AG449" s="88"/>
      <c r="AH449" s="88"/>
    </row>
    <row r="450" spans="1:34" ht="12.95" customHeight="1" x14ac:dyDescent="0.25">
      <c r="A450" s="52"/>
      <c r="B450" s="53" t="s">
        <v>243</v>
      </c>
      <c r="C450" s="52"/>
      <c r="D450" s="52"/>
      <c r="E450" s="52"/>
      <c r="F450" s="52"/>
      <c r="G450" s="52"/>
      <c r="H450" s="52"/>
      <c r="I450" s="52"/>
      <c r="J450" s="52"/>
      <c r="K450" s="52"/>
      <c r="L450" s="56"/>
      <c r="M450" s="56"/>
      <c r="N450" s="52"/>
      <c r="O450" s="52"/>
      <c r="P450" s="52"/>
      <c r="Q450" s="52"/>
      <c r="R450" s="52"/>
      <c r="S450" s="57"/>
      <c r="T450" s="54"/>
      <c r="U450" s="54"/>
      <c r="V450" s="54"/>
      <c r="W450" s="54"/>
      <c r="X450" s="54"/>
      <c r="Y450" s="54"/>
      <c r="Z450" s="54"/>
      <c r="AA450" s="54"/>
      <c r="AB450" s="54"/>
      <c r="AC450" s="50" t="s">
        <v>201</v>
      </c>
      <c r="AD450" s="51" t="s">
        <v>202</v>
      </c>
      <c r="AE450" s="44">
        <f>ROUND((((X449*E449)/1800)*0.13),4)</f>
        <v>3.0000000000000001E-3</v>
      </c>
      <c r="AF450" s="44">
        <f>ROUND(((Z449+AA449+AB449)*0.13),4)</f>
        <v>2.0199999999999999E-2</v>
      </c>
      <c r="AG450" s="88"/>
      <c r="AH450" s="88"/>
    </row>
    <row r="451" spans="1:34" ht="12.95" customHeight="1" x14ac:dyDescent="0.25">
      <c r="A451" s="52"/>
      <c r="B451" s="88"/>
      <c r="C451" s="55"/>
      <c r="D451" s="55"/>
      <c r="E451" s="52"/>
      <c r="F451" s="52"/>
      <c r="G451" s="52"/>
      <c r="H451" s="52"/>
      <c r="I451" s="52"/>
      <c r="J451" s="52"/>
      <c r="K451" s="52"/>
      <c r="L451" s="59">
        <v>0.12</v>
      </c>
      <c r="M451" s="59">
        <v>0.15</v>
      </c>
      <c r="N451" s="52"/>
      <c r="O451" s="52"/>
      <c r="P451" s="52"/>
      <c r="Q451" s="52"/>
      <c r="R451" s="52"/>
      <c r="S451" s="60">
        <v>5.8000000000000003E-2</v>
      </c>
      <c r="T451" s="48">
        <f>ROUND((L451*I449+1.3*L451*K449+S451*H449),4)</f>
        <v>43.89</v>
      </c>
      <c r="U451" s="48">
        <f>ROUND((M451*0.9*I449+1.3*M451*0.9*K449+S451*H449),4)</f>
        <v>48.941299999999998</v>
      </c>
      <c r="V451" s="48">
        <f>ROUND((M451*I449+1.3*M451*K449+S451*H449),4)</f>
        <v>53.9925</v>
      </c>
      <c r="W451" s="48">
        <f>ROUND((L451*J449+1.3*L451*N449+S451*G449),4)</f>
        <v>3.5880000000000001</v>
      </c>
      <c r="X451" s="48">
        <f>ROUND((M451*0.9*J449+1.3*M451*0.9*N449+S451*G449),4)</f>
        <v>3.9929999999999999</v>
      </c>
      <c r="Y451" s="48">
        <f>ROUND((M451*J449+1.3*M451*N449+S451*G449),4)</f>
        <v>4.3979999999999997</v>
      </c>
      <c r="Z451" s="49">
        <f>ROUND((P449*T451*F449*O449/1000000),4)</f>
        <v>7.9000000000000008E-3</v>
      </c>
      <c r="AA451" s="49">
        <f>ROUND((Q449*U451*F449*O449/1000000),4)</f>
        <v>4.4000000000000003E-3</v>
      </c>
      <c r="AB451" s="49">
        <f>ROUND((R449*V451*F449*O449/1000000),4)</f>
        <v>1.6000000000000001E-3</v>
      </c>
      <c r="AC451" s="50" t="s">
        <v>203</v>
      </c>
      <c r="AD451" s="51" t="s">
        <v>204</v>
      </c>
      <c r="AE451" s="44">
        <f>ROUND((((X451*E449)/1800)),4)</f>
        <v>2.2000000000000001E-3</v>
      </c>
      <c r="AF451" s="44">
        <f>ROUND(((Z451+AA451+AB451)),5)</f>
        <v>1.3899999999999999E-2</v>
      </c>
      <c r="AG451" s="88"/>
      <c r="AH451" s="88"/>
    </row>
    <row r="452" spans="1:34" ht="12.95" customHeight="1" x14ac:dyDescent="0.25">
      <c r="A452" s="52"/>
      <c r="B452" s="88"/>
      <c r="C452" s="52"/>
      <c r="D452" s="52"/>
      <c r="E452" s="52"/>
      <c r="F452" s="52"/>
      <c r="G452" s="52"/>
      <c r="H452" s="52"/>
      <c r="I452" s="52"/>
      <c r="J452" s="52"/>
      <c r="K452" s="52"/>
      <c r="L452" s="59">
        <v>0.26</v>
      </c>
      <c r="M452" s="59">
        <v>0.31</v>
      </c>
      <c r="N452" s="52"/>
      <c r="O452" s="52"/>
      <c r="P452" s="52"/>
      <c r="Q452" s="52"/>
      <c r="R452" s="52"/>
      <c r="S452" s="61">
        <v>0.18</v>
      </c>
      <c r="T452" s="48">
        <f>ROUND((L452*I449+1.3*L452*K449+S452*H449),4)</f>
        <v>98.355000000000004</v>
      </c>
      <c r="U452" s="48">
        <f>ROUND((M452*0.9*I449+1.3*M452*0.9*K449+S452*H449),4)</f>
        <v>104.7533</v>
      </c>
      <c r="V452" s="48">
        <f>ROUND((M452*I449+1.3*M452*K449+S452*H449),4)</f>
        <v>115.1925</v>
      </c>
      <c r="W452" s="48">
        <f>ROUND((L452*J449+1.3*L452*N449+S452*G449),4)</f>
        <v>8.1</v>
      </c>
      <c r="X452" s="48">
        <f>ROUND((M452*0.9*J449+1.3*M452*0.9*N449+S452*G449),4)</f>
        <v>8.6129999999999995</v>
      </c>
      <c r="Y452" s="48">
        <f>ROUND((M452*J449+1.3*N449+S452*G449),4)</f>
        <v>18.420000000000002</v>
      </c>
      <c r="Z452" s="49">
        <f>ROUND((P449*T452*F449*O449/1000000),4)</f>
        <v>1.77E-2</v>
      </c>
      <c r="AA452" s="49">
        <f>ROUND((Q449*U452*F449*O449/1000000),4)</f>
        <v>9.4000000000000004E-3</v>
      </c>
      <c r="AB452" s="49">
        <f>ROUND((R449*V452*F449*O449/1000000),4)</f>
        <v>3.5000000000000001E-3</v>
      </c>
      <c r="AC452" s="50" t="s">
        <v>205</v>
      </c>
      <c r="AD452" s="51" t="s">
        <v>206</v>
      </c>
      <c r="AE452" s="44">
        <f>ROUND((((X452*E449)/1800)),4)</f>
        <v>4.7999999999999996E-3</v>
      </c>
      <c r="AF452" s="44">
        <f>ROUND(((Z452+AA452+AB452)),4)</f>
        <v>3.0599999999999999E-2</v>
      </c>
      <c r="AG452" s="88"/>
      <c r="AH452" s="88"/>
    </row>
    <row r="453" spans="1:34" ht="12.95" customHeight="1" x14ac:dyDescent="0.25">
      <c r="A453" s="52"/>
      <c r="B453" s="53"/>
      <c r="C453" s="52"/>
      <c r="D453" s="52"/>
      <c r="E453" s="52"/>
      <c r="F453" s="52"/>
      <c r="G453" s="52"/>
      <c r="H453" s="52"/>
      <c r="I453" s="52"/>
      <c r="J453" s="52"/>
      <c r="K453" s="52"/>
      <c r="L453" s="59">
        <v>0.17</v>
      </c>
      <c r="M453" s="59">
        <v>0.25</v>
      </c>
      <c r="N453" s="52"/>
      <c r="O453" s="52"/>
      <c r="P453" s="52"/>
      <c r="Q453" s="52"/>
      <c r="R453" s="52"/>
      <c r="S453" s="61">
        <v>0.04</v>
      </c>
      <c r="T453" s="48">
        <f>ROUND((L453*I449+1.3*L453*K449+S453*H449),4)</f>
        <v>59.647500000000001</v>
      </c>
      <c r="U453" s="48">
        <f>ROUND((M453*0.9*I449+1.3*M453*0.9*K449+S453*H449),4)</f>
        <v>78.168800000000005</v>
      </c>
      <c r="V453" s="48">
        <f>ROUND((M453*I449+1.3*M453*K449+S453*H449),4)</f>
        <v>86.587500000000006</v>
      </c>
      <c r="W453" s="48">
        <f>ROUND((L453*J449+1.3*L453*N449+S453*G449),4)</f>
        <v>4.83</v>
      </c>
      <c r="X453" s="48">
        <f>ROUND((M453*0.9*J449+1.3*M453*0.9*N449+S453*G449),4)</f>
        <v>6.3150000000000004</v>
      </c>
      <c r="Y453" s="48">
        <f>ROUND((M453*J449+1.3*M453*N449+S453*G449),4)</f>
        <v>6.99</v>
      </c>
      <c r="Z453" s="49">
        <f>ROUND((P449*T453*F449*O449/1000000),4)</f>
        <v>1.0699999999999999E-2</v>
      </c>
      <c r="AA453" s="49">
        <f>ROUND((Q449*U453*F449*O449/1000000),4)</f>
        <v>7.0000000000000001E-3</v>
      </c>
      <c r="AB453" s="49">
        <f>ROUND((R449*V453*F449*O449/1000000),4)</f>
        <v>2.5999999999999999E-3</v>
      </c>
      <c r="AC453" s="50" t="s">
        <v>250</v>
      </c>
      <c r="AD453" s="51" t="s">
        <v>208</v>
      </c>
      <c r="AE453" s="44">
        <f>ROUND((((X453*E449)/1800)),4)</f>
        <v>3.5000000000000001E-3</v>
      </c>
      <c r="AF453" s="44">
        <f>ROUND(((Z453+AA453+AB453)),4)</f>
        <v>2.0299999999999999E-2</v>
      </c>
      <c r="AG453" s="88"/>
      <c r="AH453" s="88"/>
    </row>
    <row r="454" spans="1:34" ht="12.95" customHeight="1" x14ac:dyDescent="0.25">
      <c r="A454" s="56"/>
      <c r="B454" s="62"/>
      <c r="C454" s="56"/>
      <c r="D454" s="56"/>
      <c r="E454" s="56"/>
      <c r="F454" s="56"/>
      <c r="G454" s="56"/>
      <c r="H454" s="56"/>
      <c r="I454" s="56"/>
      <c r="J454" s="56"/>
      <c r="K454" s="56"/>
      <c r="L454" s="59">
        <v>0.77</v>
      </c>
      <c r="M454" s="59">
        <v>0.94</v>
      </c>
      <c r="N454" s="56"/>
      <c r="O454" s="56"/>
      <c r="P454" s="56"/>
      <c r="Q454" s="56"/>
      <c r="R454" s="56"/>
      <c r="S454" s="61">
        <v>1.44</v>
      </c>
      <c r="T454" s="48">
        <f>ROUND((L454*I449+1.3*L454*K449+S454*H449),4)</f>
        <v>345.69749999999999</v>
      </c>
      <c r="U454" s="48">
        <f>ROUND((M454*0.9*I449+1.3*M454*0.9*K449+S454*H449),4)</f>
        <v>371.29050000000001</v>
      </c>
      <c r="V454" s="48">
        <f>ROUND((M454*I449+1.3*M454*K449+S454*H449),4)</f>
        <v>402.94499999999999</v>
      </c>
      <c r="W454" s="48">
        <f>ROUND((L454*J449+1.3*L454*N449+S454*G449),4)</f>
        <v>29.43</v>
      </c>
      <c r="X454" s="48">
        <f>ROUND((M454*0.9*J449+1.3*M454*0.9*N449+S454*G449),4)</f>
        <v>31.481999999999999</v>
      </c>
      <c r="Y454" s="48">
        <f>ROUND((M454*J449+1.3*M454*N449+S454*G449),4)</f>
        <v>34.020000000000003</v>
      </c>
      <c r="Z454" s="49">
        <f>ROUND((P449*T454*F449*O449/1000000),4)</f>
        <v>6.2199999999999998E-2</v>
      </c>
      <c r="AA454" s="49">
        <f>ROUND((Q449*U454*F449*O449/1000000),4)</f>
        <v>3.3399999999999999E-2</v>
      </c>
      <c r="AB454" s="49">
        <f>ROUND((R449*V454*F449*O449/1000000),4)</f>
        <v>1.21E-2</v>
      </c>
      <c r="AC454" s="50" t="s">
        <v>170</v>
      </c>
      <c r="AD454" s="51" t="s">
        <v>162</v>
      </c>
      <c r="AE454" s="44">
        <f>ROUND((((X454*E449)/1800)),4)</f>
        <v>1.7500000000000002E-2</v>
      </c>
      <c r="AF454" s="44">
        <f>ROUND(((Z454+AA454+AB454)),4)</f>
        <v>0.1077</v>
      </c>
      <c r="AG454" s="87"/>
      <c r="AH454" s="87"/>
    </row>
    <row r="455" spans="1:34" s="285" customFormat="1" ht="12.95" customHeight="1" x14ac:dyDescent="0.2">
      <c r="A455" s="1057" t="s">
        <v>553</v>
      </c>
      <c r="B455" s="1058"/>
      <c r="C455" s="1058"/>
      <c r="D455" s="1058"/>
      <c r="E455" s="1058"/>
      <c r="F455" s="1058"/>
      <c r="G455" s="1058"/>
      <c r="H455" s="1058"/>
      <c r="I455" s="1058"/>
      <c r="J455" s="1058"/>
      <c r="K455" s="1058"/>
      <c r="L455" s="1058"/>
      <c r="M455" s="1058"/>
      <c r="N455" s="1058"/>
      <c r="O455" s="1058"/>
      <c r="P455" s="1058"/>
      <c r="Q455" s="1058"/>
      <c r="R455" s="1058"/>
      <c r="S455" s="1059"/>
      <c r="T455" s="280">
        <f>ROUND((L455*I455+1.3*L455*K455+S455*H455),4)</f>
        <v>0</v>
      </c>
      <c r="U455" s="280">
        <f>ROUND((M455*I455+1.3*M455*K455+S455*H455),4)</f>
        <v>0</v>
      </c>
      <c r="V455" s="280">
        <f>ROUND((M455*I455+1.3*M455*K455+S455*H455),4)</f>
        <v>0</v>
      </c>
      <c r="W455" s="280">
        <f>ROUND((L455*J455+1.3*L455*N455+S455*G455),4)</f>
        <v>0</v>
      </c>
      <c r="X455" s="280">
        <f>ROUND((M455*J455+1.3*M455*N455+S455*G455),4)</f>
        <v>0</v>
      </c>
      <c r="Y455" s="280">
        <f>ROUND((M455*J455+1.3*M455*N455+S455*G455),4)</f>
        <v>0</v>
      </c>
      <c r="Z455" s="281">
        <f>ROUND((P455*T455*F455*O455/1000000),4)</f>
        <v>0</v>
      </c>
      <c r="AA455" s="281">
        <f>ROUND((Q455*U455*F455*O455/1000000),4)</f>
        <v>0</v>
      </c>
      <c r="AB455" s="281">
        <f>ROUND((R455*V455*F455*O455/1000000),4)</f>
        <v>0</v>
      </c>
      <c r="AC455" s="282" t="s">
        <v>200</v>
      </c>
      <c r="AD455" s="283" t="s">
        <v>153</v>
      </c>
      <c r="AE455" s="291">
        <f>MAX(AE371,AE377,AE383,AE389,AE395,AE401,AE407,AE413,AE419,AE425,AE431,AE437,AE443,AE449)</f>
        <v>0.12720000000000001</v>
      </c>
      <c r="AF455" s="291">
        <f>AF371+AF377+AF383+AF389+AF395+AF401+AF407+AF413+AF419+AF425+AF431+AF437+AF443+AF449</f>
        <v>4.8224</v>
      </c>
      <c r="AG455" s="292"/>
      <c r="AH455" s="292"/>
    </row>
    <row r="456" spans="1:34" s="285" customFormat="1" ht="12.95" customHeight="1" x14ac:dyDescent="0.2">
      <c r="A456" s="1057"/>
      <c r="B456" s="1060"/>
      <c r="C456" s="1060"/>
      <c r="D456" s="1060"/>
      <c r="E456" s="1060"/>
      <c r="F456" s="1060"/>
      <c r="G456" s="1060"/>
      <c r="H456" s="1060"/>
      <c r="I456" s="1060"/>
      <c r="J456" s="1060"/>
      <c r="K456" s="1060"/>
      <c r="L456" s="1060"/>
      <c r="M456" s="1060"/>
      <c r="N456" s="1060"/>
      <c r="O456" s="1060"/>
      <c r="P456" s="1060"/>
      <c r="Q456" s="1060"/>
      <c r="R456" s="1060"/>
      <c r="S456" s="1061"/>
      <c r="T456" s="286"/>
      <c r="U456" s="286"/>
      <c r="V456" s="286"/>
      <c r="W456" s="286"/>
      <c r="X456" s="286"/>
      <c r="Y456" s="286"/>
      <c r="Z456" s="286"/>
      <c r="AA456" s="286"/>
      <c r="AB456" s="286"/>
      <c r="AC456" s="282" t="s">
        <v>201</v>
      </c>
      <c r="AD456" s="283" t="s">
        <v>202</v>
      </c>
      <c r="AE456" s="291">
        <f t="shared" ref="AE456:AE460" si="6">MAX(AE372,AE378,AE384,AE390,AE396,AE402,AE408,AE414,AE420,AE426,AE432,AE438,AE444,AE450)</f>
        <v>2.07E-2</v>
      </c>
      <c r="AF456" s="291">
        <f t="shared" ref="AF456:AF460" si="7">AF372+AF378+AF384+AF390+AF396+AF402+AF408+AF414+AF420+AF426+AF432+AF438+AF444+AF450</f>
        <v>0.78360000000000007</v>
      </c>
      <c r="AG456" s="292"/>
      <c r="AH456" s="292"/>
    </row>
    <row r="457" spans="1:34" s="285" customFormat="1" ht="12.95" customHeight="1" x14ac:dyDescent="0.2">
      <c r="A457" s="1057"/>
      <c r="B457" s="1060"/>
      <c r="C457" s="1060"/>
      <c r="D457" s="1060"/>
      <c r="E457" s="1060"/>
      <c r="F457" s="1060"/>
      <c r="G457" s="1060"/>
      <c r="H457" s="1060"/>
      <c r="I457" s="1060"/>
      <c r="J457" s="1060"/>
      <c r="K457" s="1060"/>
      <c r="L457" s="1060"/>
      <c r="M457" s="1060"/>
      <c r="N457" s="1060"/>
      <c r="O457" s="1060"/>
      <c r="P457" s="1060"/>
      <c r="Q457" s="1060"/>
      <c r="R457" s="1060"/>
      <c r="S457" s="1061"/>
      <c r="T457" s="280">
        <f>ROUND((L457*I455+1.3*L457*K455+S457*H455),4)</f>
        <v>0</v>
      </c>
      <c r="U457" s="280">
        <f>ROUND((M457*0.9*I455+1.3*M457*0.9*K455+S457*H455),4)</f>
        <v>0</v>
      </c>
      <c r="V457" s="280">
        <f>ROUND((M457*I455+1.3*M457*K455+S457*H455),4)</f>
        <v>0</v>
      </c>
      <c r="W457" s="280">
        <f>ROUND((L457*J455+1.3*L457*N455+S457*G455),4)</f>
        <v>0</v>
      </c>
      <c r="X457" s="280">
        <f>ROUND((M457*0.9*J455+1.3*M457*0.9*N455+S457*G455),4)</f>
        <v>0</v>
      </c>
      <c r="Y457" s="280">
        <f>ROUND((M457*J455+1.3*M457*N455+S457*G455),4)</f>
        <v>0</v>
      </c>
      <c r="Z457" s="281">
        <f>ROUND((P455*T457*F455*O455/1000000),4)</f>
        <v>0</v>
      </c>
      <c r="AA457" s="281">
        <f>ROUND((Q455*U457*F455*O455/1000000),4)</f>
        <v>0</v>
      </c>
      <c r="AB457" s="281">
        <f>ROUND((R455*V457*F455*O455/1000000),4)</f>
        <v>0</v>
      </c>
      <c r="AC457" s="282" t="s">
        <v>203</v>
      </c>
      <c r="AD457" s="283" t="s">
        <v>204</v>
      </c>
      <c r="AE457" s="291">
        <f t="shared" si="6"/>
        <v>1.4500000000000001E-2</v>
      </c>
      <c r="AF457" s="291">
        <f t="shared" si="7"/>
        <v>0.56710000000000005</v>
      </c>
      <c r="AG457" s="292"/>
      <c r="AH457" s="292"/>
    </row>
    <row r="458" spans="1:34" s="285" customFormat="1" ht="12.95" customHeight="1" x14ac:dyDescent="0.2">
      <c r="A458" s="1057"/>
      <c r="B458" s="1060"/>
      <c r="C458" s="1060"/>
      <c r="D458" s="1060"/>
      <c r="E458" s="1060"/>
      <c r="F458" s="1060"/>
      <c r="G458" s="1060"/>
      <c r="H458" s="1060"/>
      <c r="I458" s="1060"/>
      <c r="J458" s="1060"/>
      <c r="K458" s="1060"/>
      <c r="L458" s="1060"/>
      <c r="M458" s="1060"/>
      <c r="N458" s="1060"/>
      <c r="O458" s="1060"/>
      <c r="P458" s="1060"/>
      <c r="Q458" s="1060"/>
      <c r="R458" s="1060"/>
      <c r="S458" s="1061"/>
      <c r="T458" s="280">
        <f>ROUND((L458*I455+1.3*L458*K455+S458*H455),4)</f>
        <v>0</v>
      </c>
      <c r="U458" s="280">
        <f>ROUND((M458*0.9*I455+1.3*M458*0.9*K455+S458*H455),4)</f>
        <v>0</v>
      </c>
      <c r="V458" s="280">
        <f>ROUND((M458*I455+1.3*M458*K455+S458*H455),4)</f>
        <v>0</v>
      </c>
      <c r="W458" s="280">
        <f>ROUND((L458*J455+1.3*L458*N455+S458*G455),4)</f>
        <v>0</v>
      </c>
      <c r="X458" s="280">
        <f>ROUND((M458*0.9*J455+1.3*M458*0.9*N455+S458*G455),4)</f>
        <v>0</v>
      </c>
      <c r="Y458" s="280">
        <f>ROUND((M458*J455+1.3*N455+S458*G455),4)</f>
        <v>0</v>
      </c>
      <c r="Z458" s="281">
        <f>ROUND((P455*T458*F455*O455/1000000),4)</f>
        <v>0</v>
      </c>
      <c r="AA458" s="281">
        <f>ROUND((Q455*U458*F455*O455/1000000),4)</f>
        <v>0</v>
      </c>
      <c r="AB458" s="281">
        <f>ROUND((R455*V458*F455*O455/1000000),4)</f>
        <v>0</v>
      </c>
      <c r="AC458" s="282" t="s">
        <v>205</v>
      </c>
      <c r="AD458" s="283" t="s">
        <v>206</v>
      </c>
      <c r="AE458" s="291">
        <f t="shared" si="6"/>
        <v>3.32E-2</v>
      </c>
      <c r="AF458" s="291">
        <f t="shared" si="7"/>
        <v>1.1675999999999997</v>
      </c>
      <c r="AG458" s="292"/>
      <c r="AH458" s="292"/>
    </row>
    <row r="459" spans="1:34" s="285" customFormat="1" ht="12.95" customHeight="1" x14ac:dyDescent="0.2">
      <c r="A459" s="1057"/>
      <c r="B459" s="1060"/>
      <c r="C459" s="1060"/>
      <c r="D459" s="1060"/>
      <c r="E459" s="1060"/>
      <c r="F459" s="1060"/>
      <c r="G459" s="1060"/>
      <c r="H459" s="1060"/>
      <c r="I459" s="1060"/>
      <c r="J459" s="1060"/>
      <c r="K459" s="1060"/>
      <c r="L459" s="1060"/>
      <c r="M459" s="1060"/>
      <c r="N459" s="1060"/>
      <c r="O459" s="1060"/>
      <c r="P459" s="1060"/>
      <c r="Q459" s="1060"/>
      <c r="R459" s="1060"/>
      <c r="S459" s="1061"/>
      <c r="T459" s="280">
        <f>ROUND((L459*I455+1.3*L459*K455+S459*H455),4)</f>
        <v>0</v>
      </c>
      <c r="U459" s="280">
        <f>ROUND((M459*0.9*I455+1.3*M459*0.9*K455+S459*H455),4)</f>
        <v>0</v>
      </c>
      <c r="V459" s="280">
        <f>ROUND((M459*I455+1.3*M459*K455+S459*H455),4)</f>
        <v>0</v>
      </c>
      <c r="W459" s="280">
        <f>ROUND((L459*J455+1.3*L459*N455+S459*G455),4)</f>
        <v>0</v>
      </c>
      <c r="X459" s="280">
        <f>ROUND((M459*0.9*J455+1.3*M459*0.9*N455+S459*G455),4)</f>
        <v>0</v>
      </c>
      <c r="Y459" s="280">
        <f>ROUND((M459*J455+1.3*M459*N455+S459*G455),4)</f>
        <v>0</v>
      </c>
      <c r="Z459" s="281">
        <f>ROUND((P455*T459*F455*O455/1000000),4)</f>
        <v>0</v>
      </c>
      <c r="AA459" s="281">
        <f>ROUND((Q455*U459*F455*O455/1000000),4)</f>
        <v>0</v>
      </c>
      <c r="AB459" s="281">
        <f>ROUND((R455*V459*F455*O455/1000000),4)</f>
        <v>0</v>
      </c>
      <c r="AC459" s="282" t="s">
        <v>250</v>
      </c>
      <c r="AD459" s="283" t="s">
        <v>208</v>
      </c>
      <c r="AE459" s="291">
        <f t="shared" si="6"/>
        <v>2.3800000000000002E-2</v>
      </c>
      <c r="AF459" s="291">
        <f t="shared" si="7"/>
        <v>0.75050000000000006</v>
      </c>
      <c r="AG459" s="292"/>
      <c r="AH459" s="292"/>
    </row>
    <row r="460" spans="1:34" s="285" customFormat="1" ht="12.95" customHeight="1" x14ac:dyDescent="0.2">
      <c r="A460" s="1062"/>
      <c r="B460" s="1063"/>
      <c r="C460" s="1063"/>
      <c r="D460" s="1063"/>
      <c r="E460" s="1063"/>
      <c r="F460" s="1063"/>
      <c r="G460" s="1063"/>
      <c r="H460" s="1063"/>
      <c r="I460" s="1063"/>
      <c r="J460" s="1063"/>
      <c r="K460" s="1063"/>
      <c r="L460" s="1063"/>
      <c r="M460" s="1063"/>
      <c r="N460" s="1063"/>
      <c r="O460" s="1063"/>
      <c r="P460" s="1063"/>
      <c r="Q460" s="1063"/>
      <c r="R460" s="1063"/>
      <c r="S460" s="1064"/>
      <c r="T460" s="280">
        <f>ROUND((L460*I455+1.3*L460*K455+S460*H455),4)</f>
        <v>0</v>
      </c>
      <c r="U460" s="280">
        <f>ROUND((M460*0.9*I455+1.3*M460*0.9*K455+S460*H455),4)</f>
        <v>0</v>
      </c>
      <c r="V460" s="280">
        <f>ROUND((M460*I455+1.3*M460*K455+S460*H455),4)</f>
        <v>0</v>
      </c>
      <c r="W460" s="280">
        <f>ROUND((L460*J455+1.3*L460*N455+S460*G455),4)</f>
        <v>0</v>
      </c>
      <c r="X460" s="280">
        <f>ROUND((M460*0.9*J455+1.3*M460*0.9*N455+S460*G455),4)</f>
        <v>0</v>
      </c>
      <c r="Y460" s="280">
        <f>ROUND((M460*J455+1.3*M460*N455+S460*G455),4)</f>
        <v>0</v>
      </c>
      <c r="Z460" s="281">
        <f>ROUND((P455*T460*F455*O455/1000000),4)</f>
        <v>0</v>
      </c>
      <c r="AA460" s="281">
        <f>ROUND((Q455*U460*F455*O455/1000000),4)</f>
        <v>0</v>
      </c>
      <c r="AB460" s="281">
        <f>ROUND((R455*V460*F455*O455/1000000),4)</f>
        <v>0</v>
      </c>
      <c r="AC460" s="282" t="s">
        <v>170</v>
      </c>
      <c r="AD460" s="283" t="s">
        <v>162</v>
      </c>
      <c r="AE460" s="291">
        <f t="shared" si="6"/>
        <v>0.12039999999999999</v>
      </c>
      <c r="AF460" s="291">
        <f t="shared" si="7"/>
        <v>3.9417999999999993</v>
      </c>
      <c r="AG460" s="290">
        <f>SUM(AE455:AE460)</f>
        <v>0.33980000000000005</v>
      </c>
      <c r="AH460" s="290">
        <f>SUM(AF455:AF460)</f>
        <v>12.032999999999999</v>
      </c>
    </row>
    <row r="461" spans="1:34" s="285" customFormat="1" ht="12.95" customHeight="1" x14ac:dyDescent="0.2">
      <c r="A461" s="1068" t="s">
        <v>105</v>
      </c>
      <c r="B461" s="1069"/>
      <c r="C461" s="1069"/>
      <c r="D461" s="1069"/>
      <c r="E461" s="1069"/>
      <c r="F461" s="1069"/>
      <c r="G461" s="1069"/>
      <c r="H461" s="1069"/>
      <c r="I461" s="1069"/>
      <c r="J461" s="1069"/>
      <c r="K461" s="1069"/>
      <c r="L461" s="1069"/>
      <c r="M461" s="1069"/>
      <c r="N461" s="1069"/>
      <c r="O461" s="1069"/>
      <c r="P461" s="1069"/>
      <c r="Q461" s="1069"/>
      <c r="R461" s="1069"/>
      <c r="S461" s="1069"/>
      <c r="T461" s="1069"/>
      <c r="U461" s="1069"/>
      <c r="V461" s="1069"/>
      <c r="W461" s="1069"/>
      <c r="X461" s="1069"/>
      <c r="Y461" s="1069"/>
      <c r="Z461" s="1069"/>
      <c r="AA461" s="1069"/>
      <c r="AB461" s="1069"/>
      <c r="AC461" s="1069"/>
      <c r="AD461" s="1069"/>
      <c r="AE461" s="1069"/>
      <c r="AF461" s="1070"/>
    </row>
    <row r="462" spans="1:34" ht="12.95" customHeight="1" x14ac:dyDescent="0.25">
      <c r="A462" s="45">
        <v>8030</v>
      </c>
      <c r="B462" s="46" t="s">
        <v>218</v>
      </c>
      <c r="C462" s="45">
        <v>4</v>
      </c>
      <c r="D462" s="45" t="s">
        <v>199</v>
      </c>
      <c r="E462" s="45">
        <v>1</v>
      </c>
      <c r="F462" s="45">
        <v>1</v>
      </c>
      <c r="G462" s="45">
        <v>6</v>
      </c>
      <c r="H462" s="45">
        <v>60</v>
      </c>
      <c r="I462" s="45">
        <f>(8-1-0.75*2)*60*F462-K462-8*0.12*60</f>
        <v>57.900000000000006</v>
      </c>
      <c r="J462" s="45">
        <v>14</v>
      </c>
      <c r="K462" s="45">
        <f>(8-1-0.75*2)*0.65*60*F462</f>
        <v>214.5</v>
      </c>
      <c r="L462" s="45">
        <v>2.4700000000000002</v>
      </c>
      <c r="M462" s="45">
        <v>2.4700000000000002</v>
      </c>
      <c r="N462" s="45">
        <v>10</v>
      </c>
      <c r="O462" s="45">
        <f>E462/F462</f>
        <v>1</v>
      </c>
      <c r="P462" s="45">
        <v>120</v>
      </c>
      <c r="Q462" s="45">
        <v>30</v>
      </c>
      <c r="R462" s="47">
        <v>0</v>
      </c>
      <c r="S462" s="45">
        <v>0.48</v>
      </c>
      <c r="T462" s="48">
        <f>ROUND((L462*I462+1.3*L462*K462+S462*H462),4)</f>
        <v>860.57249999999999</v>
      </c>
      <c r="U462" s="48">
        <f>ROUND((M462*I462+1.3*M462*K462+S462*H462),4)</f>
        <v>860.57249999999999</v>
      </c>
      <c r="V462" s="48">
        <f>ROUND((M462*I462+1.3*M462*K462+S462*H462),4)</f>
        <v>860.57249999999999</v>
      </c>
      <c r="W462" s="48">
        <f>ROUND((L462*J462+1.3*L462*N462+S462*G462),4)</f>
        <v>69.569999999999993</v>
      </c>
      <c r="X462" s="48">
        <f>ROUND((M462*J462+1.3*M462*N462+S462*G462),4)</f>
        <v>69.569999999999993</v>
      </c>
      <c r="Y462" s="48">
        <f>ROUND((M462*J462+1.3*M462*N462+S462*G462),4)</f>
        <v>69.569999999999993</v>
      </c>
      <c r="Z462" s="49">
        <f>ROUND((P462*T462*F462*O462/1000000),4)</f>
        <v>0.1033</v>
      </c>
      <c r="AA462" s="49">
        <f>ROUND((Q462*U462*F462*O462/1000000),4)</f>
        <v>2.58E-2</v>
      </c>
      <c r="AB462" s="49">
        <f>ROUND((R462*V462*F462*O462/1000000),4)</f>
        <v>0</v>
      </c>
      <c r="AC462" s="50" t="s">
        <v>200</v>
      </c>
      <c r="AD462" s="51" t="s">
        <v>153</v>
      </c>
      <c r="AE462" s="44">
        <f>ROUND((((X462*E462)/1800)*0.8),4)</f>
        <v>3.09E-2</v>
      </c>
      <c r="AF462" s="44">
        <f>ROUND(((Z462+AA462+AB462)*0.8),4)</f>
        <v>0.1033</v>
      </c>
    </row>
    <row r="463" spans="1:34" ht="12.95" customHeight="1" x14ac:dyDescent="0.25">
      <c r="A463" s="63"/>
      <c r="B463" s="53" t="s">
        <v>219</v>
      </c>
      <c r="C463" s="52"/>
      <c r="D463" s="52"/>
      <c r="E463" s="52"/>
      <c r="F463" s="63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68"/>
      <c r="T463" s="54"/>
      <c r="U463" s="54"/>
      <c r="V463" s="54"/>
      <c r="W463" s="54"/>
      <c r="X463" s="54"/>
      <c r="Y463" s="54"/>
      <c r="Z463" s="54"/>
      <c r="AA463" s="54"/>
      <c r="AB463" s="54"/>
      <c r="AC463" s="50" t="s">
        <v>201</v>
      </c>
      <c r="AD463" s="51" t="s">
        <v>202</v>
      </c>
      <c r="AE463" s="44">
        <f>ROUND((((X462*E462)/1800)*0.13),4)</f>
        <v>5.0000000000000001E-3</v>
      </c>
      <c r="AF463" s="44">
        <f>ROUND(((Z462+AA462+AB462)*0.13),4)</f>
        <v>1.6799999999999999E-2</v>
      </c>
    </row>
    <row r="464" spans="1:34" ht="12.95" customHeight="1" x14ac:dyDescent="0.25">
      <c r="A464" s="63"/>
      <c r="B464" s="53"/>
      <c r="C464" s="55"/>
      <c r="D464" s="55"/>
      <c r="E464" s="52"/>
      <c r="F464" s="63"/>
      <c r="G464" s="52"/>
      <c r="H464" s="52"/>
      <c r="I464" s="52"/>
      <c r="J464" s="52"/>
      <c r="K464" s="52"/>
      <c r="L464" s="52">
        <v>0.19</v>
      </c>
      <c r="M464" s="52">
        <v>0.23</v>
      </c>
      <c r="N464" s="52"/>
      <c r="O464" s="52"/>
      <c r="P464" s="52"/>
      <c r="Q464" s="52"/>
      <c r="R464" s="52"/>
      <c r="S464" s="69">
        <v>9.7000000000000003E-2</v>
      </c>
      <c r="T464" s="48">
        <f>ROUND((L464*I462+1.3*L464*K462+S464*H462),4)</f>
        <v>69.802499999999995</v>
      </c>
      <c r="U464" s="48">
        <f>ROUND((M464*0.9*I462+1.3*M464*0.9*K462+S464*H462),4)</f>
        <v>75.527299999999997</v>
      </c>
      <c r="V464" s="48">
        <f>ROUND((M464*I462+1.3*M464*K462+S464*H462),4)</f>
        <v>83.272499999999994</v>
      </c>
      <c r="W464" s="48">
        <f>ROUND((L464*J462+1.3*L464*N462+S464*G462),4)</f>
        <v>5.7119999999999997</v>
      </c>
      <c r="X464" s="48">
        <f>ROUND((M464*0.9*J462+1.3*M464*0.9*N462+S464*G462),4)</f>
        <v>6.1710000000000003</v>
      </c>
      <c r="Y464" s="48">
        <f>ROUND((M464*J462+1.3*M464*N462+S464*G462),4)</f>
        <v>6.7919999999999998</v>
      </c>
      <c r="Z464" s="49">
        <f>ROUND((P462*T464*F462*O462/1000000),4)</f>
        <v>8.3999999999999995E-3</v>
      </c>
      <c r="AA464" s="49">
        <f>ROUND((Q462*U464*F462*O462/1000000),4)</f>
        <v>2.3E-3</v>
      </c>
      <c r="AB464" s="49">
        <f>ROUND((R462*V464*F462*O462/1000000),4)</f>
        <v>0</v>
      </c>
      <c r="AC464" s="50" t="s">
        <v>203</v>
      </c>
      <c r="AD464" s="51" t="s">
        <v>204</v>
      </c>
      <c r="AE464" s="44">
        <f>ROUND((((X464*E462)/1800)),4)</f>
        <v>3.3999999999999998E-3</v>
      </c>
      <c r="AF464" s="44">
        <f>ROUND(((Z464+AA464+AB464)),5)</f>
        <v>1.0699999999999999E-2</v>
      </c>
    </row>
    <row r="465" spans="1:32" ht="12.95" customHeight="1" x14ac:dyDescent="0.25">
      <c r="A465" s="63"/>
      <c r="B465" s="98"/>
      <c r="C465" s="52"/>
      <c r="D465" s="52"/>
      <c r="E465" s="52"/>
      <c r="F465" s="63"/>
      <c r="G465" s="52"/>
      <c r="H465" s="52"/>
      <c r="I465" s="52"/>
      <c r="J465" s="52"/>
      <c r="K465" s="52"/>
      <c r="L465" s="52">
        <v>0.43</v>
      </c>
      <c r="M465" s="52">
        <v>0.51</v>
      </c>
      <c r="N465" s="52"/>
      <c r="O465" s="52"/>
      <c r="P465" s="52"/>
      <c r="Q465" s="52"/>
      <c r="R465" s="52"/>
      <c r="S465" s="69">
        <v>0.3</v>
      </c>
      <c r="T465" s="48">
        <f>ROUND((L465*I462+1.3*L465*K462+S465*H462),4)</f>
        <v>162.80250000000001</v>
      </c>
      <c r="U465" s="48">
        <f>ROUND((M465*0.9*I462+1.3*M465*0.9*K462+S465*H462),4)</f>
        <v>172.56829999999999</v>
      </c>
      <c r="V465" s="48">
        <f>ROUND((M465*I462+1.3*M465*K462+S465*H462),4)</f>
        <v>189.74250000000001</v>
      </c>
      <c r="W465" s="48">
        <f>ROUND((L465*J462+1.3*L465*N462+S465*G462),4)</f>
        <v>13.41</v>
      </c>
      <c r="X465" s="48">
        <f>ROUND((M465*0.9*J462+1.3*M465*0.9*N462+S465*G462),4)</f>
        <v>14.193</v>
      </c>
      <c r="Y465" s="48">
        <f>ROUND((M465*J462+1.3*N462+S465*G462),4)</f>
        <v>21.94</v>
      </c>
      <c r="Z465" s="49">
        <f>ROUND((P462*T465*F462*O462/1000000),4)</f>
        <v>1.95E-2</v>
      </c>
      <c r="AA465" s="49">
        <f>ROUND((Q462*U465*F462*O462/1000000),4)</f>
        <v>5.1999999999999998E-3</v>
      </c>
      <c r="AB465" s="49">
        <f>ROUND((R462*V465*F462*O462/1000000),4)</f>
        <v>0</v>
      </c>
      <c r="AC465" s="50" t="s">
        <v>205</v>
      </c>
      <c r="AD465" s="51" t="s">
        <v>206</v>
      </c>
      <c r="AE465" s="44">
        <f>ROUND((((X465*E462)/1800)),4)</f>
        <v>7.9000000000000008E-3</v>
      </c>
      <c r="AF465" s="44">
        <f>ROUND(((Z465+AA465+AB465)),4)</f>
        <v>2.47E-2</v>
      </c>
    </row>
    <row r="466" spans="1:32" ht="12.95" customHeight="1" x14ac:dyDescent="0.25">
      <c r="A466" s="63"/>
      <c r="B466" s="53"/>
      <c r="C466" s="52"/>
      <c r="D466" s="52"/>
      <c r="E466" s="52"/>
      <c r="F466" s="63"/>
      <c r="G466" s="52"/>
      <c r="H466" s="52"/>
      <c r="I466" s="52"/>
      <c r="J466" s="52"/>
      <c r="K466" s="52"/>
      <c r="L466" s="52">
        <v>0.27</v>
      </c>
      <c r="M466" s="52">
        <v>0.41</v>
      </c>
      <c r="N466" s="52"/>
      <c r="O466" s="52"/>
      <c r="P466" s="52"/>
      <c r="Q466" s="52"/>
      <c r="R466" s="52"/>
      <c r="S466" s="69">
        <v>0.06</v>
      </c>
      <c r="T466" s="48">
        <f>ROUND((L466*I462+1.3*L466*K462+S466*H462),4)</f>
        <v>94.522499999999994</v>
      </c>
      <c r="U466" s="48">
        <f>ROUND((M466*0.9*I462+1.3*M466*0.9*K462+S466*H462),4)</f>
        <v>127.8608</v>
      </c>
      <c r="V466" s="48">
        <f>ROUND((M466*I462+1.3*M466*K462+S466*H462),4)</f>
        <v>141.66749999999999</v>
      </c>
      <c r="W466" s="48">
        <f>ROUND((L466*J462+1.3*L466*N462+S466*G462),4)</f>
        <v>7.65</v>
      </c>
      <c r="X466" s="48">
        <f>ROUND((M466*0.9*J462+1.3*M466*0.9*N462+S466*G462),4)</f>
        <v>10.323</v>
      </c>
      <c r="Y466" s="48">
        <f>ROUND((M466*J462+1.3*M466*N462+S466*G462),4)</f>
        <v>11.43</v>
      </c>
      <c r="Z466" s="49">
        <f>ROUND((P462*T466*F462*O462/1000000),4)</f>
        <v>1.1299999999999999E-2</v>
      </c>
      <c r="AA466" s="49">
        <f>ROUND((Q462*U466*F462*O462/1000000),4)</f>
        <v>3.8E-3</v>
      </c>
      <c r="AB466" s="49">
        <f>ROUND((R462*V466*F462*O462/1000000),4)</f>
        <v>0</v>
      </c>
      <c r="AC466" s="50" t="s">
        <v>250</v>
      </c>
      <c r="AD466" s="51" t="s">
        <v>208</v>
      </c>
      <c r="AE466" s="44">
        <f>ROUND((((X466*E462)/1800)),4)</f>
        <v>5.7000000000000002E-3</v>
      </c>
      <c r="AF466" s="44">
        <f>ROUND(((Z466+AA466+AB466)),4)</f>
        <v>1.5100000000000001E-2</v>
      </c>
    </row>
    <row r="467" spans="1:32" ht="12.95" customHeight="1" x14ac:dyDescent="0.25">
      <c r="A467" s="63"/>
      <c r="B467" s="53"/>
      <c r="C467" s="56"/>
      <c r="D467" s="56"/>
      <c r="E467" s="56"/>
      <c r="F467" s="66"/>
      <c r="G467" s="56"/>
      <c r="H467" s="56"/>
      <c r="I467" s="56"/>
      <c r="J467" s="56"/>
      <c r="K467" s="56"/>
      <c r="L467" s="56">
        <v>1.29</v>
      </c>
      <c r="M467" s="56">
        <v>1.57</v>
      </c>
      <c r="N467" s="56"/>
      <c r="O467" s="56"/>
      <c r="P467" s="56"/>
      <c r="Q467" s="56"/>
      <c r="R467" s="56"/>
      <c r="S467" s="69">
        <v>2.4</v>
      </c>
      <c r="T467" s="70">
        <f>ROUND((L467*I462+1.3*L467*K462+S467*H462),4)</f>
        <v>578.40750000000003</v>
      </c>
      <c r="U467" s="70">
        <f>ROUND((M467*0.9*I462+1.3*M467*0.9*K462+S467*H462),4)</f>
        <v>619.82780000000002</v>
      </c>
      <c r="V467" s="70">
        <f>ROUND((M467*I462+1.3*M467*K462+S467*H462),4)</f>
        <v>672.69749999999999</v>
      </c>
      <c r="W467" s="70">
        <f>ROUND((L467*J462+1.3*L467*N462+S467*G462),4)</f>
        <v>49.23</v>
      </c>
      <c r="X467" s="70">
        <f>ROUND((M467*0.9*J462+1.3*M467*0.9*N462+S467*G462),4)</f>
        <v>52.551000000000002</v>
      </c>
      <c r="Y467" s="70">
        <f>ROUND((M467*J462+1.3*M467*N462+S467*G462),4)</f>
        <v>56.79</v>
      </c>
      <c r="Z467" s="71">
        <f>ROUND((P462*T467*F462*O462/1000000),4)</f>
        <v>6.9400000000000003E-2</v>
      </c>
      <c r="AA467" s="71">
        <f>ROUND((Q462*U467*F462*O462/1000000),4)</f>
        <v>1.8599999999999998E-2</v>
      </c>
      <c r="AB467" s="71">
        <f>ROUND((R462*V467*F462*O462/1000000),4)</f>
        <v>0</v>
      </c>
      <c r="AC467" s="50" t="s">
        <v>170</v>
      </c>
      <c r="AD467" s="51" t="s">
        <v>162</v>
      </c>
      <c r="AE467" s="44">
        <f>ROUND((((X467*E462)/1800)),4)</f>
        <v>2.92E-2</v>
      </c>
      <c r="AF467" s="44">
        <f>ROUND(((Z467+AA467+AB467)),4)</f>
        <v>8.7999999999999995E-2</v>
      </c>
    </row>
    <row r="468" spans="1:32" ht="12.95" customHeight="1" x14ac:dyDescent="0.25">
      <c r="A468" s="63"/>
      <c r="B468" s="46" t="s">
        <v>211</v>
      </c>
      <c r="C468" s="46">
        <v>5</v>
      </c>
      <c r="D468" s="45" t="s">
        <v>209</v>
      </c>
      <c r="E468" s="45">
        <v>1</v>
      </c>
      <c r="F468" s="45">
        <v>2</v>
      </c>
      <c r="G468" s="45">
        <v>6</v>
      </c>
      <c r="H468" s="45">
        <v>60</v>
      </c>
      <c r="I468" s="45">
        <f>(8-1-0.75*2)*60*F468-K468-8*0.12*60</f>
        <v>173.4</v>
      </c>
      <c r="J468" s="45">
        <v>14</v>
      </c>
      <c r="K468" s="45">
        <f>(8-1-0.75*2)*0.65*60*F468</f>
        <v>429</v>
      </c>
      <c r="L468" s="48">
        <v>4.01</v>
      </c>
      <c r="M468" s="48">
        <v>4.01</v>
      </c>
      <c r="N468" s="45">
        <v>10</v>
      </c>
      <c r="O468" s="45">
        <f>E468/F468</f>
        <v>0.5</v>
      </c>
      <c r="P468" s="45">
        <v>120</v>
      </c>
      <c r="Q468" s="45">
        <v>30</v>
      </c>
      <c r="R468" s="47">
        <v>60</v>
      </c>
      <c r="S468" s="47">
        <v>0.78</v>
      </c>
      <c r="T468" s="48">
        <f>ROUND((L468*I468+1.3*L468*K468+S468*H468),4)</f>
        <v>2978.511</v>
      </c>
      <c r="U468" s="48">
        <f>ROUND((M468*I468+1.3*M468*K468+S468*H468),4)</f>
        <v>2978.511</v>
      </c>
      <c r="V468" s="48">
        <f>ROUND((M468*I468+1.3*M468*K468+S468*H468),4)</f>
        <v>2978.511</v>
      </c>
      <c r="W468" s="48">
        <f>ROUND((L468*J468+1.3*L468*N468+S468*G468),4)</f>
        <v>112.95</v>
      </c>
      <c r="X468" s="48">
        <f>ROUND((M468*J468+1.3*M468*N468+S468*G468),4)</f>
        <v>112.95</v>
      </c>
      <c r="Y468" s="48">
        <f>ROUND((M468*J468+1.3*M468*N468+S468*G468),4)</f>
        <v>112.95</v>
      </c>
      <c r="Z468" s="49">
        <f>ROUND((P468*T468*F468*O468/1000000),4)</f>
        <v>0.3574</v>
      </c>
      <c r="AA468" s="49">
        <f>ROUND((Q468*U468*F468*O468/1000000),4)</f>
        <v>8.9399999999999993E-2</v>
      </c>
      <c r="AB468" s="49">
        <f>ROUND((R468*V468*F468*O468/1000000),4)</f>
        <v>0.1787</v>
      </c>
      <c r="AC468" s="50" t="s">
        <v>200</v>
      </c>
      <c r="AD468" s="51" t="s">
        <v>153</v>
      </c>
      <c r="AE468" s="44">
        <f>ROUND((((X468*E468)/1800)*0.8),4)</f>
        <v>5.0200000000000002E-2</v>
      </c>
      <c r="AF468" s="44">
        <f>ROUND(((Z468+AA468+AB468)*0.8),4)</f>
        <v>0.50039999999999996</v>
      </c>
    </row>
    <row r="469" spans="1:32" ht="12.95" customHeight="1" x14ac:dyDescent="0.25">
      <c r="A469" s="63"/>
      <c r="B469" s="73" t="s">
        <v>212</v>
      </c>
      <c r="C469" s="53"/>
      <c r="D469" s="52"/>
      <c r="E469" s="52"/>
      <c r="F469" s="52"/>
      <c r="G469" s="52"/>
      <c r="H469" s="52"/>
      <c r="I469" s="52"/>
      <c r="J469" s="52"/>
      <c r="K469" s="52"/>
      <c r="L469" s="56"/>
      <c r="M469" s="56"/>
      <c r="N469" s="52"/>
      <c r="O469" s="52"/>
      <c r="P469" s="63"/>
      <c r="Q469" s="63"/>
      <c r="R469" s="63"/>
      <c r="S469" s="57"/>
      <c r="T469" s="54"/>
      <c r="U469" s="54"/>
      <c r="V469" s="54"/>
      <c r="W469" s="54"/>
      <c r="X469" s="54"/>
      <c r="Y469" s="54"/>
      <c r="Z469" s="54"/>
      <c r="AA469" s="54"/>
      <c r="AB469" s="54"/>
      <c r="AC469" s="50" t="s">
        <v>201</v>
      </c>
      <c r="AD469" s="51" t="s">
        <v>202</v>
      </c>
      <c r="AE469" s="44">
        <f>ROUND((((X468*E468)/1800)*0.13),4)</f>
        <v>8.2000000000000007E-3</v>
      </c>
      <c r="AF469" s="44">
        <f>ROUND(((Z468+AA468+AB468)*0.13),4)</f>
        <v>8.1299999999999997E-2</v>
      </c>
    </row>
    <row r="470" spans="1:32" ht="12.95" customHeight="1" x14ac:dyDescent="0.25">
      <c r="A470" s="63"/>
      <c r="B470" s="64"/>
      <c r="C470" s="58"/>
      <c r="D470" s="55"/>
      <c r="E470" s="52"/>
      <c r="F470" s="52"/>
      <c r="G470" s="52"/>
      <c r="H470" s="52"/>
      <c r="I470" s="52"/>
      <c r="J470" s="52"/>
      <c r="K470" s="52"/>
      <c r="L470" s="59">
        <v>0.31</v>
      </c>
      <c r="M470" s="59">
        <v>0.38</v>
      </c>
      <c r="N470" s="52"/>
      <c r="O470" s="52"/>
      <c r="P470" s="63"/>
      <c r="Q470" s="63"/>
      <c r="R470" s="63"/>
      <c r="S470" s="60">
        <v>0.16</v>
      </c>
      <c r="T470" s="48">
        <f>ROUND((L470*I468+1.3*L470*K468+S470*H468),4)</f>
        <v>236.24100000000001</v>
      </c>
      <c r="U470" s="48">
        <f>ROUND((M470*0.9*I468+1.3*M470*0.9*K468+S470*H468),4)</f>
        <v>259.63619999999997</v>
      </c>
      <c r="V470" s="48">
        <f>ROUND((M470*I468+1.3*M470*K468+S470*H468),4)</f>
        <v>287.41800000000001</v>
      </c>
      <c r="W470" s="48">
        <f>ROUND((L470*J468+1.3*L470*N468+S470*G468),4)</f>
        <v>9.33</v>
      </c>
      <c r="X470" s="48">
        <f>ROUND((M470*0.9*J468+1.3*M470*0.9*N468+S470*G468),4)</f>
        <v>10.194000000000001</v>
      </c>
      <c r="Y470" s="48">
        <f>ROUND((M470*J468+1.3*M470*N468+S470*G468),4)</f>
        <v>11.22</v>
      </c>
      <c r="Z470" s="49">
        <f>ROUND((P468*T470*F468*O468/1000000),4)</f>
        <v>2.8299999999999999E-2</v>
      </c>
      <c r="AA470" s="49">
        <f>ROUND((Q468*U470*F468*O468/1000000),4)</f>
        <v>7.7999999999999996E-3</v>
      </c>
      <c r="AB470" s="49">
        <f>ROUND((R468*V470*F468*O468/1000000),4)</f>
        <v>1.72E-2</v>
      </c>
      <c r="AC470" s="50" t="s">
        <v>203</v>
      </c>
      <c r="AD470" s="51" t="s">
        <v>204</v>
      </c>
      <c r="AE470" s="44">
        <f>ROUND((((X470*E468)/1800)),4)</f>
        <v>5.7000000000000002E-3</v>
      </c>
      <c r="AF470" s="44">
        <f>ROUND(((Z470+AA470+AB470)),5)</f>
        <v>5.33E-2</v>
      </c>
    </row>
    <row r="471" spans="1:32" ht="12.95" customHeight="1" x14ac:dyDescent="0.25">
      <c r="A471" s="63"/>
      <c r="B471" s="64"/>
      <c r="C471" s="53"/>
      <c r="D471" s="52"/>
      <c r="E471" s="52"/>
      <c r="F471" s="52"/>
      <c r="G471" s="52"/>
      <c r="H471" s="52"/>
      <c r="I471" s="52"/>
      <c r="J471" s="52"/>
      <c r="K471" s="52"/>
      <c r="L471" s="59">
        <v>0.71</v>
      </c>
      <c r="M471" s="59">
        <v>0.85</v>
      </c>
      <c r="N471" s="52"/>
      <c r="O471" s="52"/>
      <c r="P471" s="63"/>
      <c r="Q471" s="63"/>
      <c r="R471" s="63"/>
      <c r="S471" s="61">
        <v>0.49</v>
      </c>
      <c r="T471" s="48">
        <f>ROUND((L471*I468+1.3*L471*K468+S471*H468),4)</f>
        <v>548.48099999999999</v>
      </c>
      <c r="U471" s="48">
        <f>ROUND((M471*0.9*I468+1.3*M471*0.9*K468+S471*H468),4)</f>
        <v>588.69150000000002</v>
      </c>
      <c r="V471" s="48">
        <f>ROUND((M471*I468+1.3*M471*K468+S471*H468),4)</f>
        <v>650.83500000000004</v>
      </c>
      <c r="W471" s="48">
        <f>ROUND((L471*J468+1.3*L471*N468+S471*G468),4)</f>
        <v>22.11</v>
      </c>
      <c r="X471" s="48">
        <f>ROUND((M471*0.9*J468+1.3*M471*0.9*N468+S471*G468),4)</f>
        <v>23.594999999999999</v>
      </c>
      <c r="Y471" s="48">
        <f>ROUND((M471*J468+1.3*N468+S471*G468),4)</f>
        <v>27.84</v>
      </c>
      <c r="Z471" s="49">
        <f>ROUND((P468*T471*F468*O468/1000000),4)</f>
        <v>6.5799999999999997E-2</v>
      </c>
      <c r="AA471" s="49">
        <f>ROUND((Q468*U471*F468*O468/1000000),4)</f>
        <v>1.77E-2</v>
      </c>
      <c r="AB471" s="49">
        <f>ROUND((R468*V471*F468*O468/1000000),4)</f>
        <v>3.9100000000000003E-2</v>
      </c>
      <c r="AC471" s="50" t="s">
        <v>205</v>
      </c>
      <c r="AD471" s="51" t="s">
        <v>206</v>
      </c>
      <c r="AE471" s="44">
        <f>ROUND((((X471*E468)/1800)),4)</f>
        <v>1.3100000000000001E-2</v>
      </c>
      <c r="AF471" s="44">
        <f>ROUND(((Z471+AA471+AB471)),4)</f>
        <v>0.1226</v>
      </c>
    </row>
    <row r="472" spans="1:32" ht="12.95" customHeight="1" x14ac:dyDescent="0.25">
      <c r="A472" s="63"/>
      <c r="B472" s="64"/>
      <c r="C472" s="53"/>
      <c r="D472" s="52"/>
      <c r="E472" s="52"/>
      <c r="F472" s="52"/>
      <c r="G472" s="52"/>
      <c r="H472" s="52"/>
      <c r="I472" s="52"/>
      <c r="J472" s="52"/>
      <c r="K472" s="52"/>
      <c r="L472" s="59">
        <v>0.45</v>
      </c>
      <c r="M472" s="59">
        <v>0.67</v>
      </c>
      <c r="N472" s="52"/>
      <c r="O472" s="52"/>
      <c r="P472" s="63"/>
      <c r="Q472" s="63"/>
      <c r="R472" s="63"/>
      <c r="S472" s="61">
        <v>0.1</v>
      </c>
      <c r="T472" s="48">
        <f>ROUND((L472*I468+1.3*L472*K468+S472*H468),4)</f>
        <v>334.995</v>
      </c>
      <c r="U472" s="48">
        <f>ROUND((M472*0.9*I468+1.3*M472*0.9*K468+S472*H468),4)</f>
        <v>446.85329999999999</v>
      </c>
      <c r="V472" s="48">
        <f>ROUND((M472*I468+1.3*M472*K468+S472*H468),4)</f>
        <v>495.83699999999999</v>
      </c>
      <c r="W472" s="48">
        <f>ROUND((L472*J468+1.3*L472*N468+S472*G468),4)</f>
        <v>12.75</v>
      </c>
      <c r="X472" s="48">
        <f>ROUND((M472*0.9*J468+1.3*M472*0.9*N468+S472*G468),4)</f>
        <v>16.881</v>
      </c>
      <c r="Y472" s="48">
        <f>ROUND((M472*J468+1.3*M472*N468+S472*G468),4)</f>
        <v>18.690000000000001</v>
      </c>
      <c r="Z472" s="49">
        <f>ROUND((P468*T472*F468*O468/1000000),4)</f>
        <v>4.02E-2</v>
      </c>
      <c r="AA472" s="49">
        <f>ROUND((Q468*U472*F468*O468/1000000),4)</f>
        <v>1.34E-2</v>
      </c>
      <c r="AB472" s="49">
        <f>ROUND((R468*V472*F468*O468/1000000),4)</f>
        <v>2.98E-2</v>
      </c>
      <c r="AC472" s="50" t="s">
        <v>250</v>
      </c>
      <c r="AD472" s="51" t="s">
        <v>208</v>
      </c>
      <c r="AE472" s="44">
        <f>ROUND((((X472*E468)/1800)),4)</f>
        <v>9.4000000000000004E-3</v>
      </c>
      <c r="AF472" s="44">
        <f>ROUND(((Z472+AA472+AB472)),4)</f>
        <v>8.3400000000000002E-2</v>
      </c>
    </row>
    <row r="473" spans="1:32" ht="12.95" customHeight="1" x14ac:dyDescent="0.25">
      <c r="A473" s="63"/>
      <c r="B473" s="72"/>
      <c r="C473" s="62"/>
      <c r="D473" s="56"/>
      <c r="E473" s="56"/>
      <c r="F473" s="56"/>
      <c r="G473" s="56"/>
      <c r="H473" s="56"/>
      <c r="I473" s="56"/>
      <c r="J473" s="56"/>
      <c r="K473" s="56"/>
      <c r="L473" s="59">
        <v>2.09</v>
      </c>
      <c r="M473" s="59">
        <v>2.5499999999999998</v>
      </c>
      <c r="N473" s="56"/>
      <c r="O473" s="56"/>
      <c r="P473" s="66"/>
      <c r="Q473" s="66"/>
      <c r="R473" s="66"/>
      <c r="S473" s="61">
        <v>3.91</v>
      </c>
      <c r="T473" s="48">
        <f>ROUND((L473*I468+1.3*L473*K468+S473*H468),4)</f>
        <v>1762.5989999999999</v>
      </c>
      <c r="U473" s="48">
        <f>ROUND((M473*0.9*I468+1.3*M473*0.9*K468+S473*H468),4)</f>
        <v>1912.4745</v>
      </c>
      <c r="V473" s="48">
        <f>ROUND((M473*I468+1.3*M473*K468+S473*H468),4)</f>
        <v>2098.9050000000002</v>
      </c>
      <c r="W473" s="48">
        <f>ROUND((L473*J468+1.3*L473*N468+S473*G468),4)</f>
        <v>79.89</v>
      </c>
      <c r="X473" s="48">
        <f>ROUND((M473*0.9*J468+1.3*M473*0.9*N468+S473*G468),4)</f>
        <v>85.424999999999997</v>
      </c>
      <c r="Y473" s="48">
        <f>ROUND((M473*J468+1.3*M473*N468+S473*G468),4)</f>
        <v>92.31</v>
      </c>
      <c r="Z473" s="49">
        <f>ROUND((P468*T473*F468*O468/1000000),4)</f>
        <v>0.21149999999999999</v>
      </c>
      <c r="AA473" s="49">
        <f>ROUND((Q468*U473*F468*O468/1000000),4)</f>
        <v>5.74E-2</v>
      </c>
      <c r="AB473" s="49">
        <f>ROUND((R468*V473*F468*O468/1000000),4)</f>
        <v>0.12590000000000001</v>
      </c>
      <c r="AC473" s="50" t="s">
        <v>170</v>
      </c>
      <c r="AD473" s="51" t="s">
        <v>162</v>
      </c>
      <c r="AE473" s="44">
        <f>ROUND((((X473*E468)/1800)),4)</f>
        <v>4.7500000000000001E-2</v>
      </c>
      <c r="AF473" s="44">
        <f>ROUND(((Z473+AA473+AB473)),4)</f>
        <v>0.39479999999999998</v>
      </c>
    </row>
    <row r="474" spans="1:32" ht="12.95" customHeight="1" x14ac:dyDescent="0.25">
      <c r="A474" s="52"/>
      <c r="B474" s="46" t="s">
        <v>211</v>
      </c>
      <c r="C474" s="46">
        <v>6</v>
      </c>
      <c r="D474" s="45" t="s">
        <v>210</v>
      </c>
      <c r="E474" s="45">
        <v>1</v>
      </c>
      <c r="F474" s="45">
        <v>2</v>
      </c>
      <c r="G474" s="45">
        <v>6</v>
      </c>
      <c r="H474" s="45">
        <v>60</v>
      </c>
      <c r="I474" s="45">
        <f>(8-1-0.75*2)*60*F474-K474-8*0.12*60</f>
        <v>173.4</v>
      </c>
      <c r="J474" s="45">
        <v>14</v>
      </c>
      <c r="K474" s="45">
        <f>(8-1-0.75*2)*0.65*60*F474</f>
        <v>429</v>
      </c>
      <c r="L474" s="48">
        <v>6.47</v>
      </c>
      <c r="M474" s="48">
        <v>6.47</v>
      </c>
      <c r="N474" s="45">
        <v>10</v>
      </c>
      <c r="O474" s="45">
        <f>E474/F474</f>
        <v>0.5</v>
      </c>
      <c r="P474" s="45">
        <v>120</v>
      </c>
      <c r="Q474" s="45">
        <v>30</v>
      </c>
      <c r="R474" s="47">
        <v>60</v>
      </c>
      <c r="S474" s="47">
        <v>1.27</v>
      </c>
      <c r="T474" s="48">
        <f>ROUND((L474*I474+1.3*L474*K474+S474*H474),4)</f>
        <v>4806.4170000000004</v>
      </c>
      <c r="U474" s="48">
        <f>ROUND((M474*I474+1.3*M474*K474+S474*H474),4)</f>
        <v>4806.4170000000004</v>
      </c>
      <c r="V474" s="48">
        <f>ROUND((M474*I474+1.3*M474*K474+S474*H474),4)</f>
        <v>4806.4170000000004</v>
      </c>
      <c r="W474" s="48">
        <f>ROUND((L474*J474+1.3*L474*N474+S474*G474),4)</f>
        <v>182.31</v>
      </c>
      <c r="X474" s="48">
        <f>ROUND((M474*J474+1.3*M474*N474+S474*G474),4)</f>
        <v>182.31</v>
      </c>
      <c r="Y474" s="48">
        <f>ROUND((M474*J474+1.3*M474*N474+S474*G474),4)</f>
        <v>182.31</v>
      </c>
      <c r="Z474" s="49">
        <f>ROUND((P474*T474*F474*O474/1000000),4)</f>
        <v>0.57679999999999998</v>
      </c>
      <c r="AA474" s="49">
        <f>ROUND((Q474*U474*F474*O474/1000000),4)</f>
        <v>0.14419999999999999</v>
      </c>
      <c r="AB474" s="49">
        <f>ROUND((R474*V474*F474*O474/1000000),4)</f>
        <v>0.28839999999999999</v>
      </c>
      <c r="AC474" s="50" t="s">
        <v>200</v>
      </c>
      <c r="AD474" s="51" t="s">
        <v>153</v>
      </c>
      <c r="AE474" s="44">
        <f>ROUND((((X474*E474)/1800)*0.8),4)</f>
        <v>8.1000000000000003E-2</v>
      </c>
      <c r="AF474" s="44">
        <f>ROUND(((Z474+AA474+AB474)*0.8),4)</f>
        <v>0.8075</v>
      </c>
    </row>
    <row r="475" spans="1:32" ht="12.95" customHeight="1" x14ac:dyDescent="0.25">
      <c r="A475" s="52"/>
      <c r="B475" s="53" t="s">
        <v>213</v>
      </c>
      <c r="C475" s="52"/>
      <c r="D475" s="52"/>
      <c r="E475" s="63"/>
      <c r="F475" s="63"/>
      <c r="G475" s="52"/>
      <c r="H475" s="52"/>
      <c r="I475" s="52"/>
      <c r="J475" s="52"/>
      <c r="K475" s="52"/>
      <c r="L475" s="56"/>
      <c r="M475" s="56"/>
      <c r="N475" s="52"/>
      <c r="O475" s="52"/>
      <c r="P475" s="63"/>
      <c r="Q475" s="63"/>
      <c r="R475" s="63"/>
      <c r="S475" s="57"/>
      <c r="T475" s="54"/>
      <c r="U475" s="54"/>
      <c r="V475" s="54"/>
      <c r="W475" s="54"/>
      <c r="X475" s="54"/>
      <c r="Y475" s="54"/>
      <c r="Z475" s="54"/>
      <c r="AA475" s="54"/>
      <c r="AB475" s="54"/>
      <c r="AC475" s="50" t="s">
        <v>201</v>
      </c>
      <c r="AD475" s="51" t="s">
        <v>202</v>
      </c>
      <c r="AE475" s="44">
        <f>ROUND((((X474*E474)/1800)*0.13),4)</f>
        <v>1.32E-2</v>
      </c>
      <c r="AF475" s="44">
        <f>ROUND(((Z474+AA474+AB474)*0.13),4)</f>
        <v>0.13120000000000001</v>
      </c>
    </row>
    <row r="476" spans="1:32" ht="12.95" customHeight="1" x14ac:dyDescent="0.25">
      <c r="A476" s="52"/>
      <c r="B476" s="98"/>
      <c r="C476" s="55"/>
      <c r="D476" s="55"/>
      <c r="E476" s="63"/>
      <c r="F476" s="63"/>
      <c r="G476" s="52"/>
      <c r="H476" s="52"/>
      <c r="I476" s="52"/>
      <c r="J476" s="52"/>
      <c r="K476" s="52"/>
      <c r="L476" s="59">
        <v>0.51</v>
      </c>
      <c r="M476" s="59">
        <v>0.63</v>
      </c>
      <c r="N476" s="52"/>
      <c r="O476" s="52"/>
      <c r="P476" s="63"/>
      <c r="Q476" s="63"/>
      <c r="R476" s="63"/>
      <c r="S476" s="60">
        <v>0.25</v>
      </c>
      <c r="T476" s="48">
        <f>ROUND((L476*I474+1.3*L476*K474+S476*H474),4)</f>
        <v>387.86099999999999</v>
      </c>
      <c r="U476" s="48">
        <f>ROUND((M476*0.9*I474+1.3*M476*0.9*K474+S476*H474),4)</f>
        <v>429.53370000000001</v>
      </c>
      <c r="V476" s="48">
        <f>ROUND((M476*I474+1.3*M476*K474+S476*H474),4)</f>
        <v>475.59300000000002</v>
      </c>
      <c r="W476" s="48">
        <f>ROUND((L476*J474+1.3*L476*N474+S476*G474),4)</f>
        <v>15.27</v>
      </c>
      <c r="X476" s="48">
        <f>ROUND((M476*0.9*J474+1.3*M476*0.9*N474+S476*G474),4)</f>
        <v>16.809000000000001</v>
      </c>
      <c r="Y476" s="48">
        <f>ROUND((M476*J474+1.3*M476*N474+S476*G474),4)</f>
        <v>18.510000000000002</v>
      </c>
      <c r="Z476" s="49">
        <f>ROUND((P474*T476*F474*O474/1000000),4)</f>
        <v>4.65E-2</v>
      </c>
      <c r="AA476" s="49">
        <f>ROUND((Q474*U476*F474*O474/1000000),4)</f>
        <v>1.29E-2</v>
      </c>
      <c r="AB476" s="49">
        <f>ROUND((R474*V476*F474*O474/1000000),4)</f>
        <v>2.8500000000000001E-2</v>
      </c>
      <c r="AC476" s="50" t="s">
        <v>203</v>
      </c>
      <c r="AD476" s="51" t="s">
        <v>204</v>
      </c>
      <c r="AE476" s="44">
        <f>ROUND((((X476*E474)/1800)),4)</f>
        <v>9.2999999999999992E-3</v>
      </c>
      <c r="AF476" s="44">
        <f>ROUND(((Z476+AA476+AB476)),5)</f>
        <v>8.7900000000000006E-2</v>
      </c>
    </row>
    <row r="477" spans="1:32" ht="12.95" customHeight="1" x14ac:dyDescent="0.25">
      <c r="A477" s="52"/>
      <c r="B477" s="53"/>
      <c r="C477" s="52"/>
      <c r="D477" s="52"/>
      <c r="E477" s="63"/>
      <c r="F477" s="63"/>
      <c r="G477" s="52"/>
      <c r="H477" s="52"/>
      <c r="I477" s="52"/>
      <c r="J477" s="52"/>
      <c r="K477" s="52"/>
      <c r="L477" s="59">
        <v>1.1399999999999999</v>
      </c>
      <c r="M477" s="59">
        <v>1.37</v>
      </c>
      <c r="N477" s="52"/>
      <c r="O477" s="52"/>
      <c r="P477" s="63"/>
      <c r="Q477" s="63"/>
      <c r="R477" s="63"/>
      <c r="S477" s="61">
        <v>0.79</v>
      </c>
      <c r="T477" s="48">
        <f>ROUND((L477*I474+1.3*L477*K474+S477*H474),4)</f>
        <v>880.85400000000004</v>
      </c>
      <c r="U477" s="48">
        <f>ROUND((M477*0.9*I474+1.3*M477*0.9*K474+S477*H474),4)</f>
        <v>948.84630000000004</v>
      </c>
      <c r="V477" s="48">
        <f>ROUND((M477*I474+1.3*M477*K474+S477*H474),4)</f>
        <v>1049.0070000000001</v>
      </c>
      <c r="W477" s="48">
        <f>ROUND((L477*J474+1.3*L477*N474+S477*G474),4)</f>
        <v>35.520000000000003</v>
      </c>
      <c r="X477" s="48">
        <f>ROUND((M477*0.9*J474+1.3*M477*0.9*N474+S477*G474),4)</f>
        <v>38.030999999999999</v>
      </c>
      <c r="Y477" s="48">
        <f>ROUND((M477*J474+1.3*N474+S477*G474),4)</f>
        <v>36.92</v>
      </c>
      <c r="Z477" s="49">
        <f>ROUND((P474*T477*F474*O474/1000000),4)</f>
        <v>0.1057</v>
      </c>
      <c r="AA477" s="49">
        <f>ROUND((Q474*U477*F474*O474/1000000),4)</f>
        <v>2.8500000000000001E-2</v>
      </c>
      <c r="AB477" s="49">
        <f>ROUND((R474*V477*F474*O474/1000000),4)</f>
        <v>6.2899999999999998E-2</v>
      </c>
      <c r="AC477" s="50" t="s">
        <v>205</v>
      </c>
      <c r="AD477" s="51" t="s">
        <v>206</v>
      </c>
      <c r="AE477" s="44">
        <f>ROUND((((X477*E474)/1800)),4)</f>
        <v>2.1100000000000001E-2</v>
      </c>
      <c r="AF477" s="44">
        <f>ROUND(((Z477+AA477+AB477)),4)</f>
        <v>0.1971</v>
      </c>
    </row>
    <row r="478" spans="1:32" ht="12.95" customHeight="1" x14ac:dyDescent="0.25">
      <c r="A478" s="52"/>
      <c r="B478" s="53"/>
      <c r="C478" s="52"/>
      <c r="D478" s="52"/>
      <c r="E478" s="63"/>
      <c r="F478" s="63"/>
      <c r="G478" s="52"/>
      <c r="H478" s="52"/>
      <c r="I478" s="52"/>
      <c r="J478" s="52"/>
      <c r="K478" s="52"/>
      <c r="L478" s="59">
        <v>0.72</v>
      </c>
      <c r="M478" s="59">
        <v>1.08</v>
      </c>
      <c r="N478" s="52"/>
      <c r="O478" s="52"/>
      <c r="P478" s="63"/>
      <c r="Q478" s="63"/>
      <c r="R478" s="63"/>
      <c r="S478" s="61">
        <v>0.17</v>
      </c>
      <c r="T478" s="48">
        <f>ROUND((L478*I474+1.3*L478*K474+S478*H474),4)</f>
        <v>536.59199999999998</v>
      </c>
      <c r="U478" s="48">
        <f>ROUND((M478*0.9*I474+1.3*M478*0.9*K474+S478*H474),4)</f>
        <v>720.82920000000001</v>
      </c>
      <c r="V478" s="48">
        <f>ROUND((M478*I474+1.3*M478*K474+S478*H474),4)</f>
        <v>799.78800000000001</v>
      </c>
      <c r="W478" s="48">
        <f>ROUND((L478*J474+1.3*L478*N474+S478*G474),4)</f>
        <v>20.46</v>
      </c>
      <c r="X478" s="48">
        <f>ROUND((M478*0.9*J474+1.3*M478*0.9*N474+S478*G474),4)</f>
        <v>27.263999999999999</v>
      </c>
      <c r="Y478" s="48">
        <f>ROUND((M478*J474+1.3*M478*N474+S478*G474),4)</f>
        <v>30.18</v>
      </c>
      <c r="Z478" s="49">
        <f>ROUND((P474*T478*F474*O474/1000000),4)</f>
        <v>6.4399999999999999E-2</v>
      </c>
      <c r="AA478" s="49">
        <f>ROUND((Q474*U478*F474*O474/1000000),4)</f>
        <v>2.1600000000000001E-2</v>
      </c>
      <c r="AB478" s="49">
        <f>ROUND((R474*V478*F474*O474/1000000),4)</f>
        <v>4.8000000000000001E-2</v>
      </c>
      <c r="AC478" s="50" t="s">
        <v>250</v>
      </c>
      <c r="AD478" s="51" t="s">
        <v>208</v>
      </c>
      <c r="AE478" s="44">
        <f>ROUND((((X478*E474)/1800)),4)</f>
        <v>1.5100000000000001E-2</v>
      </c>
      <c r="AF478" s="44">
        <f>ROUND(((Z478+AA478+AB478)),4)</f>
        <v>0.13400000000000001</v>
      </c>
    </row>
    <row r="479" spans="1:32" ht="12.95" customHeight="1" x14ac:dyDescent="0.25">
      <c r="A479" s="52"/>
      <c r="B479" s="62"/>
      <c r="C479" s="56"/>
      <c r="D479" s="56"/>
      <c r="E479" s="66"/>
      <c r="F479" s="66"/>
      <c r="G479" s="56"/>
      <c r="H479" s="56"/>
      <c r="I479" s="56"/>
      <c r="J479" s="56"/>
      <c r="K479" s="56"/>
      <c r="L479" s="59">
        <v>3.37</v>
      </c>
      <c r="M479" s="59">
        <v>4.1100000000000003</v>
      </c>
      <c r="N479" s="56"/>
      <c r="O479" s="56"/>
      <c r="P479" s="66"/>
      <c r="Q479" s="66"/>
      <c r="R479" s="66"/>
      <c r="S479" s="61">
        <v>6.31</v>
      </c>
      <c r="T479" s="48">
        <f>ROUND((L479*I474+1.3*L479*K474+S479*H474),4)</f>
        <v>2842.4070000000002</v>
      </c>
      <c r="U479" s="48">
        <f>ROUND((M479*0.9*I474+1.3*M479*0.9*K474+S479*H474),4)</f>
        <v>3082.9389000000001</v>
      </c>
      <c r="V479" s="48">
        <f>ROUND((M479*I474+1.3*M479*K474+S479*H474),4)</f>
        <v>3383.4209999999998</v>
      </c>
      <c r="W479" s="48">
        <f>ROUND((L479*J474+1.3*L479*N474+S479*G474),4)</f>
        <v>128.85</v>
      </c>
      <c r="X479" s="48">
        <f>ROUND((M479*0.9*J474+1.3*M479*0.9*N474+S479*G474),4)</f>
        <v>137.733</v>
      </c>
      <c r="Y479" s="48">
        <f>ROUND((M479*J474+1.3*M479*N474+S479*G474),4)</f>
        <v>148.83000000000001</v>
      </c>
      <c r="Z479" s="49">
        <f>ROUND((P474*T479*F474*O474/1000000),4)</f>
        <v>0.34110000000000001</v>
      </c>
      <c r="AA479" s="49">
        <f>ROUND((Q474*U479*F474*O474/1000000),4)</f>
        <v>9.2499999999999999E-2</v>
      </c>
      <c r="AB479" s="49">
        <f>ROUND((R474*V479*F474*O474/1000000),4)</f>
        <v>0.20300000000000001</v>
      </c>
      <c r="AC479" s="50" t="s">
        <v>170</v>
      </c>
      <c r="AD479" s="51" t="s">
        <v>162</v>
      </c>
      <c r="AE479" s="44">
        <f>ROUND((((X479*E474)/1800)),4)</f>
        <v>7.6499999999999999E-2</v>
      </c>
      <c r="AF479" s="44">
        <f>ROUND(((Z479+AA479+AB479)),4)</f>
        <v>0.63660000000000005</v>
      </c>
    </row>
    <row r="480" spans="1:32" ht="12.95" customHeight="1" x14ac:dyDescent="0.25">
      <c r="A480" s="52"/>
      <c r="B480" s="67" t="s">
        <v>214</v>
      </c>
      <c r="C480" s="46">
        <v>6</v>
      </c>
      <c r="D480" s="45" t="s">
        <v>210</v>
      </c>
      <c r="E480" s="45">
        <v>1</v>
      </c>
      <c r="F480" s="45">
        <v>4</v>
      </c>
      <c r="G480" s="45">
        <v>6</v>
      </c>
      <c r="H480" s="45">
        <v>60</v>
      </c>
      <c r="I480" s="45">
        <f>(8-1-0.75*2)*60*F480-K480-8*0.12*60</f>
        <v>404.4</v>
      </c>
      <c r="J480" s="45">
        <v>14</v>
      </c>
      <c r="K480" s="45">
        <f>(8-1-0.75*2)*0.65*60*F480</f>
        <v>858</v>
      </c>
      <c r="L480" s="48">
        <v>6.47</v>
      </c>
      <c r="M480" s="48">
        <v>6.47</v>
      </c>
      <c r="N480" s="45">
        <v>10</v>
      </c>
      <c r="O480" s="45">
        <f>E480/F480</f>
        <v>0.25</v>
      </c>
      <c r="P480" s="45">
        <v>120</v>
      </c>
      <c r="Q480" s="45">
        <v>30</v>
      </c>
      <c r="R480" s="47">
        <v>30</v>
      </c>
      <c r="S480" s="47">
        <v>1.27</v>
      </c>
      <c r="T480" s="48">
        <f>ROUND((L480*I480+1.3*L480*K480+S480*H480),4)</f>
        <v>9909.3060000000005</v>
      </c>
      <c r="U480" s="48">
        <f>ROUND((M480*I480+1.3*M480*K480+S480*H480),4)</f>
        <v>9909.3060000000005</v>
      </c>
      <c r="V480" s="48">
        <f>ROUND((M480*I480+1.3*M480*K480+S480*H480),4)</f>
        <v>9909.3060000000005</v>
      </c>
      <c r="W480" s="48">
        <f>ROUND((L480*J480+1.3*L480*N480+S480*G480),4)</f>
        <v>182.31</v>
      </c>
      <c r="X480" s="48">
        <f>ROUND((M480*J480+1.3*M480*N480+S480*G480),4)</f>
        <v>182.31</v>
      </c>
      <c r="Y480" s="48">
        <f>ROUND((M480*J480+1.3*M480*N480+S480*G480),4)</f>
        <v>182.31</v>
      </c>
      <c r="Z480" s="49">
        <f>ROUND((P480*T480*F480*O480/1000000),4)</f>
        <v>1.1891</v>
      </c>
      <c r="AA480" s="49">
        <f>ROUND((Q480*U480*F480*O480/1000000),4)</f>
        <v>0.29730000000000001</v>
      </c>
      <c r="AB480" s="49">
        <f>ROUND((R480*V480*F480*O480/1000000),4)</f>
        <v>0.29730000000000001</v>
      </c>
      <c r="AC480" s="50" t="s">
        <v>200</v>
      </c>
      <c r="AD480" s="51" t="s">
        <v>153</v>
      </c>
      <c r="AE480" s="44">
        <f>ROUND((((X480*E480)/1800)*0.8),4)</f>
        <v>8.1000000000000003E-2</v>
      </c>
      <c r="AF480" s="44">
        <f>ROUND(((Z480+AA480+AB480)*0.8),4)</f>
        <v>1.427</v>
      </c>
    </row>
    <row r="481" spans="1:32" ht="12.95" customHeight="1" x14ac:dyDescent="0.25">
      <c r="A481" s="52"/>
      <c r="B481" s="53" t="s">
        <v>215</v>
      </c>
      <c r="C481" s="52"/>
      <c r="D481" s="52"/>
      <c r="E481" s="52"/>
      <c r="F481" s="52"/>
      <c r="G481" s="52"/>
      <c r="H481" s="52"/>
      <c r="I481" s="52"/>
      <c r="J481" s="52"/>
      <c r="K481" s="52"/>
      <c r="L481" s="56"/>
      <c r="M481" s="56"/>
      <c r="N481" s="52"/>
      <c r="O481" s="52"/>
      <c r="P481" s="63"/>
      <c r="Q481" s="63"/>
      <c r="R481" s="52"/>
      <c r="S481" s="57"/>
      <c r="T481" s="54"/>
      <c r="U481" s="54"/>
      <c r="V481" s="54"/>
      <c r="W481" s="54"/>
      <c r="X481" s="54"/>
      <c r="Y481" s="54"/>
      <c r="Z481" s="54"/>
      <c r="AA481" s="54"/>
      <c r="AB481" s="54"/>
      <c r="AC481" s="50" t="s">
        <v>201</v>
      </c>
      <c r="AD481" s="51" t="s">
        <v>202</v>
      </c>
      <c r="AE481" s="44">
        <f>ROUND((((X480*E480)/1800)*0.13),4)</f>
        <v>1.32E-2</v>
      </c>
      <c r="AF481" s="44">
        <f>ROUND(((Z480+AA480+AB480)*0.13),4)</f>
        <v>0.2319</v>
      </c>
    </row>
    <row r="482" spans="1:32" ht="12.95" customHeight="1" x14ac:dyDescent="0.25">
      <c r="A482" s="52"/>
      <c r="B482" s="88"/>
      <c r="C482" s="55"/>
      <c r="D482" s="55"/>
      <c r="E482" s="52"/>
      <c r="F482" s="52"/>
      <c r="G482" s="52"/>
      <c r="H482" s="52"/>
      <c r="I482" s="52"/>
      <c r="J482" s="52"/>
      <c r="K482" s="52"/>
      <c r="L482" s="59">
        <v>0.51</v>
      </c>
      <c r="M482" s="59">
        <v>0.63</v>
      </c>
      <c r="N482" s="52"/>
      <c r="O482" s="52"/>
      <c r="P482" s="63"/>
      <c r="Q482" s="63"/>
      <c r="R482" s="52"/>
      <c r="S482" s="60">
        <v>0.25</v>
      </c>
      <c r="T482" s="48">
        <f>ROUND((L482*I480+1.3*L482*K480+S482*H480),4)</f>
        <v>790.09799999999996</v>
      </c>
      <c r="U482" s="48">
        <f>ROUND((M482*0.9*I480+1.3*M482*0.9*K480+S482*H480),4)</f>
        <v>876.72659999999996</v>
      </c>
      <c r="V482" s="48">
        <f>ROUND((M482*I480+1.3*M482*K480+S482*H480),4)</f>
        <v>972.47400000000005</v>
      </c>
      <c r="W482" s="48">
        <f>ROUND((L482*J480+1.3*L482*N480+S482*G480),4)</f>
        <v>15.27</v>
      </c>
      <c r="X482" s="48">
        <f>ROUND((M482*0.9*J480+1.3*M482*0.9*N480+S482*G480),4)</f>
        <v>16.809000000000001</v>
      </c>
      <c r="Y482" s="48">
        <f>ROUND((M482*J480+1.3*M482*N480+S482*G480),4)</f>
        <v>18.510000000000002</v>
      </c>
      <c r="Z482" s="49">
        <f>ROUND((P480*T482*F480*O480/1000000),4)</f>
        <v>9.4799999999999995E-2</v>
      </c>
      <c r="AA482" s="49">
        <f>ROUND((Q480*U482*F480*O480/1000000),4)</f>
        <v>2.63E-2</v>
      </c>
      <c r="AB482" s="49">
        <f>ROUND((R480*V482*F480*O480/1000000),4)</f>
        <v>2.92E-2</v>
      </c>
      <c r="AC482" s="50" t="s">
        <v>203</v>
      </c>
      <c r="AD482" s="51" t="s">
        <v>204</v>
      </c>
      <c r="AE482" s="44">
        <f>ROUND((((X482*E480)/1800)),4)</f>
        <v>9.2999999999999992E-3</v>
      </c>
      <c r="AF482" s="44">
        <f>ROUND(((Z482+AA482+AB482)),5)</f>
        <v>0.15029999999999999</v>
      </c>
    </row>
    <row r="483" spans="1:32" ht="12.95" customHeight="1" x14ac:dyDescent="0.25">
      <c r="A483" s="52"/>
      <c r="B483" s="88"/>
      <c r="C483" s="52"/>
      <c r="D483" s="52"/>
      <c r="E483" s="52"/>
      <c r="F483" s="52"/>
      <c r="G483" s="52"/>
      <c r="H483" s="52"/>
      <c r="I483" s="52"/>
      <c r="J483" s="52"/>
      <c r="K483" s="52"/>
      <c r="L483" s="59">
        <v>1.1399999999999999</v>
      </c>
      <c r="M483" s="59">
        <v>1.37</v>
      </c>
      <c r="N483" s="52"/>
      <c r="O483" s="52"/>
      <c r="P483" s="63"/>
      <c r="Q483" s="63"/>
      <c r="R483" s="52"/>
      <c r="S483" s="61">
        <v>0.79</v>
      </c>
      <c r="T483" s="48">
        <f>ROUND((L483*I480+1.3*L483*K480+S483*H480),4)</f>
        <v>1779.972</v>
      </c>
      <c r="U483" s="48">
        <f>ROUND((M483*0.9*I480+1.3*M483*0.9*K480+S483*H480),4)</f>
        <v>1921.3134</v>
      </c>
      <c r="V483" s="48">
        <f>ROUND((M483*I480+1.3*M483*K480+S483*H480),4)</f>
        <v>2129.5259999999998</v>
      </c>
      <c r="W483" s="48">
        <f>ROUND((L483*J480+1.3*L483*N480+S483*G480),4)</f>
        <v>35.520000000000003</v>
      </c>
      <c r="X483" s="48">
        <f>ROUND((M483*0.9*J480+1.3*M483*0.9*N480+S483*G480),4)</f>
        <v>38.030999999999999</v>
      </c>
      <c r="Y483" s="48">
        <f>ROUND((M483*J480+1.3*N480+S483*G480),4)</f>
        <v>36.92</v>
      </c>
      <c r="Z483" s="49">
        <f>ROUND((P480*T483*F480*O480/1000000),4)</f>
        <v>0.21360000000000001</v>
      </c>
      <c r="AA483" s="49">
        <f>ROUND((Q480*U483*F480*O480/1000000),4)</f>
        <v>5.7599999999999998E-2</v>
      </c>
      <c r="AB483" s="49">
        <f>ROUND((R480*V483*F480*O480/1000000),4)</f>
        <v>6.3899999999999998E-2</v>
      </c>
      <c r="AC483" s="50" t="s">
        <v>205</v>
      </c>
      <c r="AD483" s="51" t="s">
        <v>206</v>
      </c>
      <c r="AE483" s="44">
        <f>ROUND((((X483*E480)/1800)),4)</f>
        <v>2.1100000000000001E-2</v>
      </c>
      <c r="AF483" s="44">
        <f>ROUND(((Z483+AA483+AB483)),4)</f>
        <v>0.33510000000000001</v>
      </c>
    </row>
    <row r="484" spans="1:32" ht="12.95" customHeight="1" x14ac:dyDescent="0.25">
      <c r="A484" s="52"/>
      <c r="B484" s="53"/>
      <c r="C484" s="52"/>
      <c r="D484" s="52"/>
      <c r="E484" s="52"/>
      <c r="F484" s="52"/>
      <c r="G484" s="52"/>
      <c r="H484" s="52"/>
      <c r="I484" s="52"/>
      <c r="J484" s="52"/>
      <c r="K484" s="52"/>
      <c r="L484" s="59">
        <v>0.72</v>
      </c>
      <c r="M484" s="59">
        <v>1.08</v>
      </c>
      <c r="N484" s="52"/>
      <c r="O484" s="52"/>
      <c r="P484" s="63"/>
      <c r="Q484" s="63"/>
      <c r="R484" s="52"/>
      <c r="S484" s="61">
        <v>0.17</v>
      </c>
      <c r="T484" s="48">
        <f>ROUND((L484*I480+1.3*L484*K480+S484*H480),4)</f>
        <v>1104.4559999999999</v>
      </c>
      <c r="U484" s="48">
        <f>ROUND((M484*0.9*I480+1.3*M484*0.9*K480+S484*H480),4)</f>
        <v>1487.4456</v>
      </c>
      <c r="V484" s="48">
        <f>ROUND((M484*I480+1.3*M484*K480+S484*H480),4)</f>
        <v>1651.5840000000001</v>
      </c>
      <c r="W484" s="48">
        <f>ROUND((L484*J480+1.3*L484*N480+S484*G480),4)</f>
        <v>20.46</v>
      </c>
      <c r="X484" s="48">
        <f>ROUND((M484*0.9*J480+1.3*M484*0.9*N480+S484*G480),4)</f>
        <v>27.263999999999999</v>
      </c>
      <c r="Y484" s="48">
        <f>ROUND((M484*J480+1.3*M484*N480+S484*G480),4)</f>
        <v>30.18</v>
      </c>
      <c r="Z484" s="49">
        <f>ROUND((P480*T484*F480*O480/1000000),4)</f>
        <v>0.13250000000000001</v>
      </c>
      <c r="AA484" s="49">
        <f>ROUND((Q480*U484*F480*O480/1000000),4)</f>
        <v>4.4600000000000001E-2</v>
      </c>
      <c r="AB484" s="49">
        <f>ROUND((R480*V484*F480*O480/1000000),4)</f>
        <v>4.9500000000000002E-2</v>
      </c>
      <c r="AC484" s="50" t="s">
        <v>250</v>
      </c>
      <c r="AD484" s="51" t="s">
        <v>208</v>
      </c>
      <c r="AE484" s="44">
        <f>ROUND((((X484*E480)/1800)),4)</f>
        <v>1.5100000000000001E-2</v>
      </c>
      <c r="AF484" s="44">
        <f>ROUND(((Z484+AA484+AB484)),4)</f>
        <v>0.2266</v>
      </c>
    </row>
    <row r="485" spans="1:32" ht="12.95" customHeight="1" x14ac:dyDescent="0.25">
      <c r="A485" s="52"/>
      <c r="B485" s="62"/>
      <c r="C485" s="56"/>
      <c r="D485" s="56"/>
      <c r="E485" s="56"/>
      <c r="F485" s="56"/>
      <c r="G485" s="56"/>
      <c r="H485" s="56"/>
      <c r="I485" s="56"/>
      <c r="J485" s="56"/>
      <c r="K485" s="56"/>
      <c r="L485" s="59">
        <v>3.37</v>
      </c>
      <c r="M485" s="59">
        <v>4.1100000000000003</v>
      </c>
      <c r="N485" s="56"/>
      <c r="O485" s="56"/>
      <c r="P485" s="66"/>
      <c r="Q485" s="66"/>
      <c r="R485" s="56"/>
      <c r="S485" s="61">
        <v>6.31</v>
      </c>
      <c r="T485" s="48">
        <f>ROUND((L485*I480+1.3*L485*K480+S485*H480),4)</f>
        <v>5500.326</v>
      </c>
      <c r="U485" s="48">
        <f>ROUND((M485*0.9*I480+1.3*M485*0.9*K480+S485*H480),4)</f>
        <v>6000.3401999999996</v>
      </c>
      <c r="V485" s="48">
        <f>ROUND((M485*I480+1.3*M485*K480+S485*H480),4)</f>
        <v>6624.9780000000001</v>
      </c>
      <c r="W485" s="48">
        <f>ROUND((L485*J480+1.3*L485*N480+S485*G480),4)</f>
        <v>128.85</v>
      </c>
      <c r="X485" s="48">
        <f>ROUND((M485*0.9*J480+1.3*M485*0.9*N480+S485*G480),4)</f>
        <v>137.733</v>
      </c>
      <c r="Y485" s="48">
        <f>ROUND((M485*J480+1.3*M485*N480+S485*G480),4)</f>
        <v>148.83000000000001</v>
      </c>
      <c r="Z485" s="49">
        <f>ROUND((P480*T485*F480*O480/1000000),4)</f>
        <v>0.66</v>
      </c>
      <c r="AA485" s="49">
        <f>ROUND((Q480*U485*F480*O480/1000000),4)</f>
        <v>0.18</v>
      </c>
      <c r="AB485" s="49">
        <f>ROUND((R480*V485*F480*O480/1000000),4)</f>
        <v>0.19869999999999999</v>
      </c>
      <c r="AC485" s="50" t="s">
        <v>170</v>
      </c>
      <c r="AD485" s="51" t="s">
        <v>162</v>
      </c>
      <c r="AE485" s="44">
        <f>ROUND((((X485*E480)/1800)),4)</f>
        <v>7.6499999999999999E-2</v>
      </c>
      <c r="AF485" s="44">
        <f>ROUND(((Z485+AA485+AB485)),4)</f>
        <v>1.0387</v>
      </c>
    </row>
    <row r="486" spans="1:32" ht="12.95" customHeight="1" x14ac:dyDescent="0.25">
      <c r="A486" s="52"/>
      <c r="B486" s="67" t="s">
        <v>214</v>
      </c>
      <c r="C486" s="46">
        <v>7</v>
      </c>
      <c r="D486" s="45" t="s">
        <v>217</v>
      </c>
      <c r="E486" s="45">
        <v>1</v>
      </c>
      <c r="F486" s="45">
        <v>4</v>
      </c>
      <c r="G486" s="45">
        <v>6</v>
      </c>
      <c r="H486" s="45">
        <v>60</v>
      </c>
      <c r="I486" s="45">
        <f>(8-1-0.75*2)*60*F486-K486-8*0.12*60</f>
        <v>404.4</v>
      </c>
      <c r="J486" s="45">
        <v>14</v>
      </c>
      <c r="K486" s="45">
        <f>(8-1-0.75*2)*0.65*60*F486</f>
        <v>858</v>
      </c>
      <c r="L486" s="48">
        <v>10.16</v>
      </c>
      <c r="M486" s="48">
        <v>10.16</v>
      </c>
      <c r="N486" s="45">
        <v>10</v>
      </c>
      <c r="O486" s="45">
        <f>E486/F486</f>
        <v>0.25</v>
      </c>
      <c r="P486" s="45">
        <v>120</v>
      </c>
      <c r="Q486" s="45">
        <v>30</v>
      </c>
      <c r="R486" s="47">
        <v>30</v>
      </c>
      <c r="S486" s="47">
        <v>1.99</v>
      </c>
      <c r="T486" s="48">
        <f>ROUND((L486*I486+1.3*L486*K486+S486*H486),4)</f>
        <v>15560.567999999999</v>
      </c>
      <c r="U486" s="48">
        <f>ROUND((M486*I486+1.3*M486*K486+S486*H486),4)</f>
        <v>15560.567999999999</v>
      </c>
      <c r="V486" s="48">
        <f>ROUND((M486*I486+1.3*M486*K486+S486*H486),4)</f>
        <v>15560.567999999999</v>
      </c>
      <c r="W486" s="48">
        <f>ROUND((L486*J486+1.3*L486*N486+S486*G486),4)</f>
        <v>286.26</v>
      </c>
      <c r="X486" s="48">
        <f>ROUND((M486*J486+1.3*M486*N486+S486*G486),4)</f>
        <v>286.26</v>
      </c>
      <c r="Y486" s="48">
        <f>ROUND((M486*J486+1.3*M486*N486+S486*G486),4)</f>
        <v>286.26</v>
      </c>
      <c r="Z486" s="49">
        <f>ROUND((P486*T486*F486*O486/1000000),4)</f>
        <v>1.8673</v>
      </c>
      <c r="AA486" s="49">
        <f>ROUND((Q486*U486*F486*O486/1000000),4)</f>
        <v>0.46679999999999999</v>
      </c>
      <c r="AB486" s="49">
        <f>ROUND((R486*V486*F486*O486/1000000),4)</f>
        <v>0.46679999999999999</v>
      </c>
      <c r="AC486" s="50" t="s">
        <v>200</v>
      </c>
      <c r="AD486" s="51" t="s">
        <v>153</v>
      </c>
      <c r="AE486" s="44">
        <f>ROUND((((X486*E486)/1800)*0.8),4)</f>
        <v>0.12720000000000001</v>
      </c>
      <c r="AF486" s="44">
        <f>ROUND(((Z486+AA486+AB486)*0.8),4)</f>
        <v>2.2406999999999999</v>
      </c>
    </row>
    <row r="487" spans="1:32" ht="12.95" customHeight="1" x14ac:dyDescent="0.25">
      <c r="A487" s="52"/>
      <c r="B487" s="53" t="s">
        <v>216</v>
      </c>
      <c r="C487" s="52"/>
      <c r="D487" s="52"/>
      <c r="E487" s="52"/>
      <c r="F487" s="63"/>
      <c r="G487" s="52"/>
      <c r="H487" s="52"/>
      <c r="I487" s="52"/>
      <c r="J487" s="52"/>
      <c r="K487" s="52"/>
      <c r="L487" s="56"/>
      <c r="M487" s="56"/>
      <c r="N487" s="52"/>
      <c r="O487" s="52"/>
      <c r="P487" s="52"/>
      <c r="Q487" s="52"/>
      <c r="R487" s="52"/>
      <c r="S487" s="57"/>
      <c r="T487" s="54"/>
      <c r="U487" s="54"/>
      <c r="V487" s="54"/>
      <c r="W487" s="54"/>
      <c r="X487" s="54"/>
      <c r="Y487" s="54"/>
      <c r="Z487" s="54"/>
      <c r="AA487" s="54"/>
      <c r="AB487" s="54"/>
      <c r="AC487" s="50" t="s">
        <v>201</v>
      </c>
      <c r="AD487" s="51" t="s">
        <v>202</v>
      </c>
      <c r="AE487" s="44">
        <f>ROUND((((X486*E486)/1800)*0.13),4)</f>
        <v>2.07E-2</v>
      </c>
      <c r="AF487" s="44">
        <f>ROUND(((Z486+AA486+AB486)*0.13),4)</f>
        <v>0.36409999999999998</v>
      </c>
    </row>
    <row r="488" spans="1:32" ht="12.95" customHeight="1" x14ac:dyDescent="0.25">
      <c r="A488" s="52"/>
      <c r="B488" s="88"/>
      <c r="C488" s="55"/>
      <c r="D488" s="55"/>
      <c r="E488" s="52"/>
      <c r="F488" s="63"/>
      <c r="G488" s="52"/>
      <c r="H488" s="52"/>
      <c r="I488" s="52"/>
      <c r="J488" s="52"/>
      <c r="K488" s="52"/>
      <c r="L488" s="59">
        <v>0.8</v>
      </c>
      <c r="M488" s="59">
        <v>0.98</v>
      </c>
      <c r="N488" s="52"/>
      <c r="O488" s="52"/>
      <c r="P488" s="52"/>
      <c r="Q488" s="52"/>
      <c r="R488" s="52"/>
      <c r="S488" s="60">
        <v>0.39</v>
      </c>
      <c r="T488" s="48">
        <f>ROUND((L488*I486+1.3*L488*K486+S488*H486),4)</f>
        <v>1239.24</v>
      </c>
      <c r="U488" s="48">
        <f>ROUND((M488*0.9*I486+1.3*M488*0.9*K486+S488*H486),4)</f>
        <v>1363.8635999999999</v>
      </c>
      <c r="V488" s="48">
        <f>ROUND((M488*I486+1.3*M488*K486+S488*H486),4)</f>
        <v>1512.8040000000001</v>
      </c>
      <c r="W488" s="48">
        <f>ROUND((L488*J486+1.3*L488*N486+S488*G486),4)</f>
        <v>23.94</v>
      </c>
      <c r="X488" s="48">
        <f>ROUND((M488*0.9*J486+1.3*M488*0.9*N486+S488*G486),4)</f>
        <v>26.154</v>
      </c>
      <c r="Y488" s="48">
        <f>ROUND((M488*J486+1.3*M488*N486+S488*G486),4)</f>
        <v>28.8</v>
      </c>
      <c r="Z488" s="49">
        <f>ROUND((P486*T488*F486*O486/1000000),4)</f>
        <v>0.1487</v>
      </c>
      <c r="AA488" s="49">
        <f>ROUND((Q486*U488*F486*O486/1000000),4)</f>
        <v>4.0899999999999999E-2</v>
      </c>
      <c r="AB488" s="49">
        <f>ROUND((R486*V488*F486*O486/1000000),4)</f>
        <v>4.5400000000000003E-2</v>
      </c>
      <c r="AC488" s="50" t="s">
        <v>203</v>
      </c>
      <c r="AD488" s="51" t="s">
        <v>204</v>
      </c>
      <c r="AE488" s="44">
        <f>ROUND((((X488*E486)/1800)),4)</f>
        <v>1.4500000000000001E-2</v>
      </c>
      <c r="AF488" s="44">
        <f>ROUND(((Z488+AA488+AB488)),5)</f>
        <v>0.23499999999999999</v>
      </c>
    </row>
    <row r="489" spans="1:32" ht="12.95" customHeight="1" x14ac:dyDescent="0.25">
      <c r="A489" s="52"/>
      <c r="B489" s="88"/>
      <c r="C489" s="52"/>
      <c r="D489" s="52"/>
      <c r="E489" s="52"/>
      <c r="F489" s="63"/>
      <c r="G489" s="52"/>
      <c r="H489" s="52"/>
      <c r="I489" s="52"/>
      <c r="J489" s="52"/>
      <c r="K489" s="52"/>
      <c r="L489" s="59">
        <v>1.79</v>
      </c>
      <c r="M489" s="59">
        <v>2.15</v>
      </c>
      <c r="N489" s="52"/>
      <c r="O489" s="52"/>
      <c r="P489" s="52"/>
      <c r="Q489" s="52"/>
      <c r="R489" s="52"/>
      <c r="S489" s="61">
        <v>1.24</v>
      </c>
      <c r="T489" s="48">
        <f>ROUND((L489*I486+1.3*L489*K486+S489*H486),4)</f>
        <v>2794.8420000000001</v>
      </c>
      <c r="U489" s="48">
        <f>ROUND((M489*0.9*I486+1.3*M489*0.9*K486+S489*H486),4)</f>
        <v>3015.2130000000002</v>
      </c>
      <c r="V489" s="48">
        <f>ROUND((M489*I486+1.3*M489*K486+S489*H486),4)</f>
        <v>3341.97</v>
      </c>
      <c r="W489" s="48">
        <f>ROUND((L489*J486+1.3*L489*N486+S489*G486),4)</f>
        <v>55.77</v>
      </c>
      <c r="X489" s="48">
        <f>ROUND((M489*0.9*J486+1.3*M489*0.9*N486+S489*G486),4)</f>
        <v>59.685000000000002</v>
      </c>
      <c r="Y489" s="48">
        <f>ROUND((M489*J486+1.3*N486+S489*G486),4)</f>
        <v>50.54</v>
      </c>
      <c r="Z489" s="49">
        <f>ROUND((P486*T489*F486*O486/1000000),4)</f>
        <v>0.33539999999999998</v>
      </c>
      <c r="AA489" s="49">
        <f>ROUND((Q486*U489*F486*O486/1000000),4)</f>
        <v>9.0499999999999997E-2</v>
      </c>
      <c r="AB489" s="49">
        <f>ROUND((R486*V489*F486*O486/1000000),4)</f>
        <v>0.1003</v>
      </c>
      <c r="AC489" s="50" t="s">
        <v>205</v>
      </c>
      <c r="AD489" s="51" t="s">
        <v>206</v>
      </c>
      <c r="AE489" s="44">
        <f>ROUND((((X489*E486)/1800)),4)</f>
        <v>3.32E-2</v>
      </c>
      <c r="AF489" s="44">
        <f>ROUND(((Z489+AA489+AB489)),4)</f>
        <v>0.5262</v>
      </c>
    </row>
    <row r="490" spans="1:32" ht="12.95" customHeight="1" x14ac:dyDescent="0.25">
      <c r="A490" s="52"/>
      <c r="B490" s="53"/>
      <c r="C490" s="52"/>
      <c r="D490" s="52"/>
      <c r="E490" s="52"/>
      <c r="F490" s="63"/>
      <c r="G490" s="52"/>
      <c r="H490" s="52"/>
      <c r="I490" s="52"/>
      <c r="J490" s="52"/>
      <c r="K490" s="52"/>
      <c r="L490" s="59">
        <v>1.1299999999999999</v>
      </c>
      <c r="M490" s="59">
        <v>1.7</v>
      </c>
      <c r="N490" s="52"/>
      <c r="O490" s="52"/>
      <c r="P490" s="52"/>
      <c r="Q490" s="52"/>
      <c r="R490" s="52"/>
      <c r="S490" s="61">
        <v>0.26</v>
      </c>
      <c r="T490" s="48">
        <f>ROUND((L490*I486+1.3*L490*K486+S490*H486),4)</f>
        <v>1732.9739999999999</v>
      </c>
      <c r="U490" s="48">
        <f>ROUND((M490*0.9*I486+1.3*M490*0.9*K486+S490*H486),4)</f>
        <v>2340.8939999999998</v>
      </c>
      <c r="V490" s="48">
        <f>ROUND((M490*I486+1.3*M490*K486+S490*H486),4)</f>
        <v>2599.2600000000002</v>
      </c>
      <c r="W490" s="48">
        <f>ROUND((L490*J486+1.3*L490*N486+S490*G486),4)</f>
        <v>32.07</v>
      </c>
      <c r="X490" s="48">
        <f>ROUND((M490*0.9*J486+1.3*M490*0.9*N486+S490*G486),4)</f>
        <v>42.87</v>
      </c>
      <c r="Y490" s="48">
        <f>ROUND((M490*J486+1.3*M490*N486+S490*G486),4)</f>
        <v>47.46</v>
      </c>
      <c r="Z490" s="49">
        <f>ROUND((P486*T490*F486*O486/1000000),4)</f>
        <v>0.20799999999999999</v>
      </c>
      <c r="AA490" s="49">
        <f>ROUND((Q486*U490*F486*O486/1000000),4)</f>
        <v>7.0199999999999999E-2</v>
      </c>
      <c r="AB490" s="49">
        <f>ROUND((R486*V490*F486*O486/1000000),4)</f>
        <v>7.8E-2</v>
      </c>
      <c r="AC490" s="50" t="s">
        <v>250</v>
      </c>
      <c r="AD490" s="51" t="s">
        <v>208</v>
      </c>
      <c r="AE490" s="44">
        <f>ROUND((((X490*E486)/1800)),4)</f>
        <v>2.3800000000000002E-2</v>
      </c>
      <c r="AF490" s="44">
        <f>ROUND(((Z490+AA490+AB490)),4)</f>
        <v>0.35620000000000002</v>
      </c>
    </row>
    <row r="491" spans="1:32" ht="12.95" customHeight="1" x14ac:dyDescent="0.25">
      <c r="A491" s="52"/>
      <c r="B491" s="62"/>
      <c r="C491" s="56"/>
      <c r="D491" s="56"/>
      <c r="E491" s="56"/>
      <c r="F491" s="66"/>
      <c r="G491" s="56"/>
      <c r="H491" s="56"/>
      <c r="I491" s="56"/>
      <c r="J491" s="56"/>
      <c r="K491" s="56"/>
      <c r="L491" s="59">
        <v>5.3</v>
      </c>
      <c r="M491" s="59">
        <v>6.47</v>
      </c>
      <c r="N491" s="56"/>
      <c r="O491" s="56"/>
      <c r="P491" s="56"/>
      <c r="Q491" s="56"/>
      <c r="R491" s="56"/>
      <c r="S491" s="61">
        <v>9.92</v>
      </c>
      <c r="T491" s="48">
        <f>ROUND((L491*I486+1.3*L491*K486+S491*H486),4)</f>
        <v>8650.14</v>
      </c>
      <c r="U491" s="48">
        <f>ROUND((M491*0.9*I486+1.3*M491*0.9*K486+S491*H486),4)</f>
        <v>9444.9953999999998</v>
      </c>
      <c r="V491" s="48">
        <f>ROUND((M491*I486+1.3*M491*K486+S491*H486),4)</f>
        <v>10428.306</v>
      </c>
      <c r="W491" s="48">
        <f>ROUND((L491*J486+1.3*L491*N486+S491*G486),4)</f>
        <v>202.62</v>
      </c>
      <c r="X491" s="48">
        <f>ROUND((M491*0.9*J486+1.3*M491*0.9*N486+S491*G486),4)</f>
        <v>216.74100000000001</v>
      </c>
      <c r="Y491" s="48">
        <f>ROUND((M491*J486+1.3*M491*N486+S491*G486),4)</f>
        <v>234.21</v>
      </c>
      <c r="Z491" s="49">
        <f>ROUND((P486*T491*F486*O486/1000000),4)</f>
        <v>1.038</v>
      </c>
      <c r="AA491" s="49">
        <f>ROUND((Q486*U491*F486*O486/1000000),4)</f>
        <v>0.2833</v>
      </c>
      <c r="AB491" s="49">
        <f>ROUND((R486*V491*F486*O486/1000000),4)</f>
        <v>0.31280000000000002</v>
      </c>
      <c r="AC491" s="50" t="s">
        <v>170</v>
      </c>
      <c r="AD491" s="51" t="s">
        <v>162</v>
      </c>
      <c r="AE491" s="44">
        <f>ROUND((((X491*E486)/1800)),4)</f>
        <v>0.12039999999999999</v>
      </c>
      <c r="AF491" s="44">
        <f>ROUND(((Z491+AA491+AB491)),4)</f>
        <v>1.6341000000000001</v>
      </c>
    </row>
    <row r="492" spans="1:32" ht="12.95" customHeight="1" x14ac:dyDescent="0.25">
      <c r="A492" s="52"/>
      <c r="B492" s="67" t="s">
        <v>220</v>
      </c>
      <c r="C492" s="46">
        <v>7</v>
      </c>
      <c r="D492" s="45" t="s">
        <v>217</v>
      </c>
      <c r="E492" s="45">
        <v>1</v>
      </c>
      <c r="F492" s="45">
        <v>4</v>
      </c>
      <c r="G492" s="45">
        <v>6</v>
      </c>
      <c r="H492" s="45">
        <v>60</v>
      </c>
      <c r="I492" s="45">
        <f>(8-1-0.75*2)*60*F492-K492-8*0.12*60</f>
        <v>404.4</v>
      </c>
      <c r="J492" s="45">
        <v>14</v>
      </c>
      <c r="K492" s="45">
        <f>(8-1-0.75*2)*0.65*60*F492</f>
        <v>858</v>
      </c>
      <c r="L492" s="48">
        <v>10.16</v>
      </c>
      <c r="M492" s="48">
        <v>10.16</v>
      </c>
      <c r="N492" s="45">
        <v>10</v>
      </c>
      <c r="O492" s="45">
        <f>E492/F492</f>
        <v>0.25</v>
      </c>
      <c r="P492" s="45">
        <v>120</v>
      </c>
      <c r="Q492" s="45">
        <v>15</v>
      </c>
      <c r="R492" s="47">
        <v>15</v>
      </c>
      <c r="S492" s="47">
        <v>1.99</v>
      </c>
      <c r="T492" s="48">
        <f>ROUND((L492*I492+1.3*L492*K492+S492*H492),4)</f>
        <v>15560.567999999999</v>
      </c>
      <c r="U492" s="48">
        <f>ROUND((M492*I492+1.3*M492*K492+S492*H492),4)</f>
        <v>15560.567999999999</v>
      </c>
      <c r="V492" s="48">
        <f>ROUND((M492*I492+1.3*M492*K492+S492*H492),4)</f>
        <v>15560.567999999999</v>
      </c>
      <c r="W492" s="48">
        <f>ROUND((L492*J492+1.3*L492*N492+S492*G492),4)</f>
        <v>286.26</v>
      </c>
      <c r="X492" s="48">
        <f>ROUND((M492*J492+1.3*M492*N492+S492*G492),4)</f>
        <v>286.26</v>
      </c>
      <c r="Y492" s="48">
        <f>ROUND((M492*J492+1.3*M492*N492+S492*G492),4)</f>
        <v>286.26</v>
      </c>
      <c r="Z492" s="49">
        <f>ROUND((P492*T492*F492*O492/1000000),4)</f>
        <v>1.8673</v>
      </c>
      <c r="AA492" s="49">
        <f>ROUND((Q492*U492*F492*O492/1000000),4)</f>
        <v>0.2334</v>
      </c>
      <c r="AB492" s="49">
        <f>ROUND((R492*V492*F492*O492/1000000),4)</f>
        <v>0.2334</v>
      </c>
      <c r="AC492" s="50" t="s">
        <v>200</v>
      </c>
      <c r="AD492" s="51" t="s">
        <v>153</v>
      </c>
      <c r="AE492" s="44">
        <f>ROUND((((X492*E492)/1800)*0.8),4)</f>
        <v>0.12720000000000001</v>
      </c>
      <c r="AF492" s="44">
        <f>ROUND(((Z492+AA492+AB492)*0.8),4)</f>
        <v>1.8673</v>
      </c>
    </row>
    <row r="493" spans="1:32" ht="12.95" customHeight="1" x14ac:dyDescent="0.25">
      <c r="A493" s="52"/>
      <c r="B493" s="53" t="s">
        <v>221</v>
      </c>
      <c r="C493" s="52"/>
      <c r="D493" s="52"/>
      <c r="E493" s="52"/>
      <c r="F493" s="52"/>
      <c r="G493" s="52"/>
      <c r="H493" s="52"/>
      <c r="I493" s="52"/>
      <c r="J493" s="52"/>
      <c r="K493" s="52"/>
      <c r="L493" s="56"/>
      <c r="M493" s="56"/>
      <c r="N493" s="52"/>
      <c r="O493" s="52"/>
      <c r="P493" s="52"/>
      <c r="Q493" s="52"/>
      <c r="R493" s="52"/>
      <c r="S493" s="57"/>
      <c r="T493" s="54"/>
      <c r="U493" s="54"/>
      <c r="V493" s="54"/>
      <c r="W493" s="54"/>
      <c r="X493" s="54"/>
      <c r="Y493" s="54"/>
      <c r="Z493" s="54"/>
      <c r="AA493" s="54"/>
      <c r="AB493" s="54"/>
      <c r="AC493" s="50" t="s">
        <v>201</v>
      </c>
      <c r="AD493" s="51" t="s">
        <v>202</v>
      </c>
      <c r="AE493" s="44">
        <f>ROUND((((X492*E492)/1800)*0.13),4)</f>
        <v>2.07E-2</v>
      </c>
      <c r="AF493" s="44">
        <f>ROUND(((Z492+AA492+AB492)*0.13),4)</f>
        <v>0.3034</v>
      </c>
    </row>
    <row r="494" spans="1:32" ht="12.95" customHeight="1" x14ac:dyDescent="0.25">
      <c r="A494" s="52"/>
      <c r="B494" s="88"/>
      <c r="C494" s="55"/>
      <c r="D494" s="55"/>
      <c r="E494" s="52"/>
      <c r="F494" s="52"/>
      <c r="G494" s="52"/>
      <c r="H494" s="52"/>
      <c r="I494" s="52"/>
      <c r="J494" s="52"/>
      <c r="K494" s="52"/>
      <c r="L494" s="59">
        <v>0.8</v>
      </c>
      <c r="M494" s="59">
        <v>0.98</v>
      </c>
      <c r="N494" s="52"/>
      <c r="O494" s="52"/>
      <c r="P494" s="52"/>
      <c r="Q494" s="52"/>
      <c r="R494" s="52"/>
      <c r="S494" s="60">
        <v>0.39</v>
      </c>
      <c r="T494" s="48">
        <f>ROUND((L494*I492+1.3*L494*K492+S494*H492),4)</f>
        <v>1239.24</v>
      </c>
      <c r="U494" s="48">
        <f>ROUND((M494*0.9*I492+1.3*M494*0.9*K492+S494*H492),4)</f>
        <v>1363.8635999999999</v>
      </c>
      <c r="V494" s="48">
        <f>ROUND((M494*I492+1.3*M494*K492+S494*H492),4)</f>
        <v>1512.8040000000001</v>
      </c>
      <c r="W494" s="48">
        <f>ROUND((L494*J492+1.3*L494*N492+S494*G492),4)</f>
        <v>23.94</v>
      </c>
      <c r="X494" s="48">
        <f>ROUND((M494*0.9*J492+1.3*M494*0.9*N492+S494*G492),4)</f>
        <v>26.154</v>
      </c>
      <c r="Y494" s="48">
        <f>ROUND((M494*J492+1.3*M494*N492+S494*G492),4)</f>
        <v>28.8</v>
      </c>
      <c r="Z494" s="49">
        <f>ROUND((P492*T494*F492*O492/1000000),4)</f>
        <v>0.1487</v>
      </c>
      <c r="AA494" s="49">
        <f>ROUND((Q492*U494*F492*O492/1000000),4)</f>
        <v>2.0500000000000001E-2</v>
      </c>
      <c r="AB494" s="49">
        <f>ROUND((R492*V494*F492*O492/1000000),4)</f>
        <v>2.2700000000000001E-2</v>
      </c>
      <c r="AC494" s="50" t="s">
        <v>203</v>
      </c>
      <c r="AD494" s="51" t="s">
        <v>204</v>
      </c>
      <c r="AE494" s="44">
        <f>ROUND((((X494*E492)/1800)),4)</f>
        <v>1.4500000000000001E-2</v>
      </c>
      <c r="AF494" s="44">
        <f>ROUND(((Z494+AA494+AB494)),5)</f>
        <v>0.19189999999999999</v>
      </c>
    </row>
    <row r="495" spans="1:32" ht="12.95" customHeight="1" x14ac:dyDescent="0.25">
      <c r="A495" s="52"/>
      <c r="B495" s="88"/>
      <c r="C495" s="52"/>
      <c r="D495" s="52"/>
      <c r="E495" s="52"/>
      <c r="F495" s="52"/>
      <c r="G495" s="52"/>
      <c r="H495" s="52"/>
      <c r="I495" s="52"/>
      <c r="J495" s="52"/>
      <c r="K495" s="52"/>
      <c r="L495" s="59">
        <v>1.79</v>
      </c>
      <c r="M495" s="59">
        <v>2.15</v>
      </c>
      <c r="N495" s="52"/>
      <c r="O495" s="52"/>
      <c r="P495" s="52"/>
      <c r="Q495" s="52"/>
      <c r="R495" s="52"/>
      <c r="S495" s="61">
        <v>1.24</v>
      </c>
      <c r="T495" s="48">
        <f>ROUND((L495*I492+1.3*L495*K492+S495*H492),4)</f>
        <v>2794.8420000000001</v>
      </c>
      <c r="U495" s="48">
        <f>ROUND((M495*0.9*I492+1.3*M495*0.9*K492+S495*H492),4)</f>
        <v>3015.2130000000002</v>
      </c>
      <c r="V495" s="48">
        <f>ROUND((M495*I492+1.3*M495*K492+S495*H492),4)</f>
        <v>3341.97</v>
      </c>
      <c r="W495" s="48">
        <f>ROUND((L495*J492+1.3*L495*N492+S495*G492),4)</f>
        <v>55.77</v>
      </c>
      <c r="X495" s="48">
        <f>ROUND((M495*0.9*J492+1.3*M495*0.9*N492+S495*G492),4)</f>
        <v>59.685000000000002</v>
      </c>
      <c r="Y495" s="48">
        <f>ROUND((M495*J492+1.3*N492+S495*G492),4)</f>
        <v>50.54</v>
      </c>
      <c r="Z495" s="49">
        <f>ROUND((P492*T495*F492*O492/1000000),4)</f>
        <v>0.33539999999999998</v>
      </c>
      <c r="AA495" s="49">
        <f>ROUND((Q492*U495*F492*O492/1000000),4)</f>
        <v>4.5199999999999997E-2</v>
      </c>
      <c r="AB495" s="49">
        <f>ROUND((R492*V495*F492*O492/1000000),4)</f>
        <v>5.0099999999999999E-2</v>
      </c>
      <c r="AC495" s="50" t="s">
        <v>205</v>
      </c>
      <c r="AD495" s="51" t="s">
        <v>206</v>
      </c>
      <c r="AE495" s="44">
        <f>ROUND((((X495*E492)/1800)),4)</f>
        <v>3.32E-2</v>
      </c>
      <c r="AF495" s="44">
        <f>ROUND(((Z495+AA495+AB495)),4)</f>
        <v>0.43070000000000003</v>
      </c>
    </row>
    <row r="496" spans="1:32" ht="12.95" customHeight="1" x14ac:dyDescent="0.25">
      <c r="A496" s="52"/>
      <c r="B496" s="53"/>
      <c r="C496" s="52"/>
      <c r="D496" s="52"/>
      <c r="E496" s="52"/>
      <c r="F496" s="52"/>
      <c r="G496" s="52"/>
      <c r="H496" s="52"/>
      <c r="I496" s="52"/>
      <c r="J496" s="52"/>
      <c r="K496" s="52"/>
      <c r="L496" s="59">
        <v>1.1299999999999999</v>
      </c>
      <c r="M496" s="59">
        <v>1.7</v>
      </c>
      <c r="N496" s="52"/>
      <c r="O496" s="52"/>
      <c r="P496" s="52"/>
      <c r="Q496" s="52"/>
      <c r="R496" s="52"/>
      <c r="S496" s="61">
        <v>0.26</v>
      </c>
      <c r="T496" s="48">
        <f>ROUND((L496*I492+1.3*L496*K492+S496*H492),4)</f>
        <v>1732.9739999999999</v>
      </c>
      <c r="U496" s="48">
        <f>ROUND((M496*0.9*I492+1.3*M496*0.9*K492+S496*H492),4)</f>
        <v>2340.8939999999998</v>
      </c>
      <c r="V496" s="48">
        <f>ROUND((M496*I492+1.3*M496*K492+S496*H492),4)</f>
        <v>2599.2600000000002</v>
      </c>
      <c r="W496" s="48">
        <f>ROUND((L496*J492+1.3*L496*N492+S496*G492),4)</f>
        <v>32.07</v>
      </c>
      <c r="X496" s="48">
        <f>ROUND((M496*0.9*J492+1.3*M496*0.9*N492+S496*G492),4)</f>
        <v>42.87</v>
      </c>
      <c r="Y496" s="48">
        <f>ROUND((M496*J492+1.3*M496*N492+S496*G492),4)</f>
        <v>47.46</v>
      </c>
      <c r="Z496" s="49">
        <f>ROUND((P492*T496*F492*O492/1000000),4)</f>
        <v>0.20799999999999999</v>
      </c>
      <c r="AA496" s="49">
        <f>ROUND((Q492*U496*F492*O492/1000000),4)</f>
        <v>3.5099999999999999E-2</v>
      </c>
      <c r="AB496" s="49">
        <f>ROUND((R492*V496*F492*O492/1000000),4)</f>
        <v>3.9E-2</v>
      </c>
      <c r="AC496" s="50" t="s">
        <v>250</v>
      </c>
      <c r="AD496" s="51" t="s">
        <v>208</v>
      </c>
      <c r="AE496" s="44">
        <f>ROUND((((X496*E492)/1800)),4)</f>
        <v>2.3800000000000002E-2</v>
      </c>
      <c r="AF496" s="44">
        <f>ROUND(((Z496+AA496+AB496)),4)</f>
        <v>0.28210000000000002</v>
      </c>
    </row>
    <row r="497" spans="1:34" ht="12.95" customHeight="1" x14ac:dyDescent="0.25">
      <c r="A497" s="52"/>
      <c r="B497" s="62"/>
      <c r="C497" s="56"/>
      <c r="D497" s="56"/>
      <c r="E497" s="56"/>
      <c r="F497" s="56"/>
      <c r="G497" s="56"/>
      <c r="H497" s="56"/>
      <c r="I497" s="56"/>
      <c r="J497" s="56"/>
      <c r="K497" s="56"/>
      <c r="L497" s="59">
        <v>5.3</v>
      </c>
      <c r="M497" s="59">
        <v>6.47</v>
      </c>
      <c r="N497" s="56"/>
      <c r="O497" s="56"/>
      <c r="P497" s="56"/>
      <c r="Q497" s="56"/>
      <c r="R497" s="56"/>
      <c r="S497" s="61">
        <v>9.92</v>
      </c>
      <c r="T497" s="48">
        <f>ROUND((L497*I492+1.3*L497*K492+S497*H492),4)</f>
        <v>8650.14</v>
      </c>
      <c r="U497" s="48">
        <f>ROUND((M497*0.9*I492+1.3*M497*0.9*K492+S497*H492),4)</f>
        <v>9444.9953999999998</v>
      </c>
      <c r="V497" s="48">
        <f>ROUND((M497*I492+1.3*M497*K492+S497*H492),4)</f>
        <v>10428.306</v>
      </c>
      <c r="W497" s="48">
        <f>ROUND((L497*J492+1.3*L497*N492+S497*G492),4)</f>
        <v>202.62</v>
      </c>
      <c r="X497" s="48">
        <f>ROUND((M497*0.9*J492+1.3*M497*0.9*N492+S497*G492),4)</f>
        <v>216.74100000000001</v>
      </c>
      <c r="Y497" s="48">
        <f>ROUND((M497*J492+1.3*M497*N492+S497*G492),4)</f>
        <v>234.21</v>
      </c>
      <c r="Z497" s="49">
        <f>ROUND((P492*T497*F492*O492/1000000),4)</f>
        <v>1.038</v>
      </c>
      <c r="AA497" s="49">
        <f>ROUND((Q492*U497*F492*O492/1000000),4)</f>
        <v>0.14169999999999999</v>
      </c>
      <c r="AB497" s="49">
        <f>ROUND((R492*V497*F492*O492/1000000),4)</f>
        <v>0.15640000000000001</v>
      </c>
      <c r="AC497" s="50" t="s">
        <v>170</v>
      </c>
      <c r="AD497" s="51" t="s">
        <v>162</v>
      </c>
      <c r="AE497" s="44">
        <f>ROUND((((X497*E492)/1800)),4)</f>
        <v>0.12039999999999999</v>
      </c>
      <c r="AF497" s="44">
        <f>ROUND(((Z497+AA497+AB497)),4)</f>
        <v>1.3361000000000001</v>
      </c>
    </row>
    <row r="498" spans="1:34" ht="12.95" customHeight="1" x14ac:dyDescent="0.25">
      <c r="A498" s="52"/>
      <c r="B498" s="67" t="s">
        <v>220</v>
      </c>
      <c r="C498" s="46">
        <v>7</v>
      </c>
      <c r="D498" s="45" t="s">
        <v>217</v>
      </c>
      <c r="E498" s="45">
        <v>1</v>
      </c>
      <c r="F498" s="45">
        <v>3</v>
      </c>
      <c r="G498" s="45">
        <v>6</v>
      </c>
      <c r="H498" s="45">
        <v>60</v>
      </c>
      <c r="I498" s="45">
        <f>(8-1-0.75*2)*60*F498-K498-8*0.12*60</f>
        <v>288.89999999999998</v>
      </c>
      <c r="J498" s="45">
        <v>14</v>
      </c>
      <c r="K498" s="45">
        <f>(8-1-0.75*2)*0.65*60*F498</f>
        <v>643.5</v>
      </c>
      <c r="L498" s="48">
        <v>10.16</v>
      </c>
      <c r="M498" s="48">
        <v>10.16</v>
      </c>
      <c r="N498" s="45">
        <v>10</v>
      </c>
      <c r="O498" s="45">
        <f>E498/F498</f>
        <v>0.33333333333333331</v>
      </c>
      <c r="P498" s="45">
        <v>120</v>
      </c>
      <c r="Q498" s="45">
        <v>15</v>
      </c>
      <c r="R498" s="47">
        <v>15</v>
      </c>
      <c r="S498" s="47">
        <v>1.99</v>
      </c>
      <c r="T498" s="48">
        <f>ROUND((L498*I498+1.3*L498*K498+S498*H498),4)</f>
        <v>11553.972</v>
      </c>
      <c r="U498" s="48">
        <f>ROUND((M498*I498+1.3*M498*K498+S498*H498),4)</f>
        <v>11553.972</v>
      </c>
      <c r="V498" s="48">
        <f>ROUND((M498*I498+1.3*M498*K498+S498*H498),4)</f>
        <v>11553.972</v>
      </c>
      <c r="W498" s="48">
        <f>ROUND((L498*J498+1.3*L498*N498+S498*G498),4)</f>
        <v>286.26</v>
      </c>
      <c r="X498" s="48">
        <f>ROUND((M498*J498+1.3*M498*N498+S498*G498),4)</f>
        <v>286.26</v>
      </c>
      <c r="Y498" s="48">
        <f>ROUND((M498*J498+1.3*M498*N498+S498*G498),4)</f>
        <v>286.26</v>
      </c>
      <c r="Z498" s="49">
        <f>ROUND((P498*T498*F498*O498/1000000),4)</f>
        <v>1.3865000000000001</v>
      </c>
      <c r="AA498" s="49">
        <f>ROUND((Q498*U498*F498*O498/1000000),4)</f>
        <v>0.17330000000000001</v>
      </c>
      <c r="AB498" s="49">
        <f>ROUND((R498*V498*F498*O498/1000000),4)</f>
        <v>0.17330000000000001</v>
      </c>
      <c r="AC498" s="50" t="s">
        <v>200</v>
      </c>
      <c r="AD498" s="51" t="s">
        <v>153</v>
      </c>
      <c r="AE498" s="44">
        <f>ROUND((((X498*E498)/1800)*0.8),4)</f>
        <v>0.12720000000000001</v>
      </c>
      <c r="AF498" s="44">
        <f>ROUND(((Z498+AA498+AB498)*0.8),4)</f>
        <v>1.3865000000000001</v>
      </c>
    </row>
    <row r="499" spans="1:34" ht="12.95" customHeight="1" x14ac:dyDescent="0.25">
      <c r="A499" s="52"/>
      <c r="B499" s="53" t="s">
        <v>222</v>
      </c>
      <c r="C499" s="52"/>
      <c r="D499" s="52"/>
      <c r="E499" s="52"/>
      <c r="F499" s="52"/>
      <c r="G499" s="52"/>
      <c r="H499" s="52"/>
      <c r="I499" s="52"/>
      <c r="J499" s="52"/>
      <c r="K499" s="52"/>
      <c r="L499" s="56"/>
      <c r="M499" s="56"/>
      <c r="N499" s="52"/>
      <c r="O499" s="52"/>
      <c r="P499" s="52"/>
      <c r="Q499" s="52"/>
      <c r="R499" s="52"/>
      <c r="S499" s="57"/>
      <c r="T499" s="54"/>
      <c r="U499" s="54"/>
      <c r="V499" s="54"/>
      <c r="W499" s="54"/>
      <c r="X499" s="54"/>
      <c r="Y499" s="54"/>
      <c r="Z499" s="54"/>
      <c r="AA499" s="54"/>
      <c r="AB499" s="54"/>
      <c r="AC499" s="50" t="s">
        <v>201</v>
      </c>
      <c r="AD499" s="51" t="s">
        <v>202</v>
      </c>
      <c r="AE499" s="44">
        <f>ROUND((((X498*E498)/1800)*0.13),4)</f>
        <v>2.07E-2</v>
      </c>
      <c r="AF499" s="44">
        <f>ROUND(((Z498+AA498+AB498)*0.13),4)</f>
        <v>0.2253</v>
      </c>
    </row>
    <row r="500" spans="1:34" ht="12.95" customHeight="1" x14ac:dyDescent="0.25">
      <c r="A500" s="52"/>
      <c r="B500" s="88"/>
      <c r="C500" s="55"/>
      <c r="D500" s="55"/>
      <c r="E500" s="52"/>
      <c r="F500" s="63"/>
      <c r="G500" s="52"/>
      <c r="H500" s="52"/>
      <c r="I500" s="52"/>
      <c r="J500" s="52"/>
      <c r="K500" s="52"/>
      <c r="L500" s="59">
        <v>0.8</v>
      </c>
      <c r="M500" s="59">
        <v>0.98</v>
      </c>
      <c r="N500" s="52"/>
      <c r="O500" s="52"/>
      <c r="P500" s="52"/>
      <c r="Q500" s="52"/>
      <c r="R500" s="52"/>
      <c r="S500" s="60">
        <v>0.39</v>
      </c>
      <c r="T500" s="48">
        <f>ROUND((L500*I498+1.3*L500*K498+S500*H498),4)</f>
        <v>923.76</v>
      </c>
      <c r="U500" s="48">
        <f>ROUND((M500*0.9*I498+1.3*M500*0.9*K498+S500*H498),4)</f>
        <v>1016.0469000000001</v>
      </c>
      <c r="V500" s="48">
        <f>ROUND((M500*I498+1.3*M500*K498+S500*H498),4)</f>
        <v>1126.3409999999999</v>
      </c>
      <c r="W500" s="48">
        <f>ROUND((L500*J498+1.3*L500*N498+S500*G498),4)</f>
        <v>23.94</v>
      </c>
      <c r="X500" s="48">
        <f>ROUND((M500*0.9*J498+1.3*M500*0.9*N498+S500*G498),4)</f>
        <v>26.154</v>
      </c>
      <c r="Y500" s="48">
        <f>ROUND((M500*J498+1.3*M500*N498+S500*G498),4)</f>
        <v>28.8</v>
      </c>
      <c r="Z500" s="49">
        <f>ROUND((P498*T500*F498*O498/1000000),4)</f>
        <v>0.1109</v>
      </c>
      <c r="AA500" s="49">
        <f>ROUND((Q498*U500*F498*O498/1000000),4)</f>
        <v>1.52E-2</v>
      </c>
      <c r="AB500" s="49">
        <f>ROUND((R498*V500*F498*O498/1000000),4)</f>
        <v>1.6899999999999998E-2</v>
      </c>
      <c r="AC500" s="50" t="s">
        <v>203</v>
      </c>
      <c r="AD500" s="51" t="s">
        <v>204</v>
      </c>
      <c r="AE500" s="44">
        <f>ROUND((((X500*E498)/1800)),4)</f>
        <v>1.4500000000000001E-2</v>
      </c>
      <c r="AF500" s="44">
        <f>ROUND(((Z500+AA500+AB500)),5)</f>
        <v>0.14299999999999999</v>
      </c>
    </row>
    <row r="501" spans="1:34" ht="12.95" customHeight="1" x14ac:dyDescent="0.25">
      <c r="A501" s="52"/>
      <c r="B501" s="88"/>
      <c r="C501" s="52"/>
      <c r="D501" s="52"/>
      <c r="E501" s="52"/>
      <c r="F501" s="63"/>
      <c r="G501" s="52"/>
      <c r="H501" s="52"/>
      <c r="I501" s="52"/>
      <c r="J501" s="52"/>
      <c r="K501" s="52"/>
      <c r="L501" s="59">
        <v>1.79</v>
      </c>
      <c r="M501" s="59">
        <v>2.15</v>
      </c>
      <c r="N501" s="52"/>
      <c r="O501" s="52"/>
      <c r="P501" s="52"/>
      <c r="Q501" s="52"/>
      <c r="R501" s="52"/>
      <c r="S501" s="61">
        <v>1.24</v>
      </c>
      <c r="T501" s="48">
        <f>ROUND((L501*I498+1.3*L501*K498+S501*H498),4)</f>
        <v>2088.9555</v>
      </c>
      <c r="U501" s="48">
        <f>ROUND((M501*0.9*I498+1.3*M501*0.9*K498+S501*H498),4)</f>
        <v>2252.1457999999998</v>
      </c>
      <c r="V501" s="48">
        <f>ROUND((M501*I498+1.3*M501*K498+S501*H498),4)</f>
        <v>2494.1174999999998</v>
      </c>
      <c r="W501" s="48">
        <f>ROUND((L501*J498+1.3*L501*N498+S501*G498),4)</f>
        <v>55.77</v>
      </c>
      <c r="X501" s="48">
        <f>ROUND((M501*0.9*J498+1.3*M501*0.9*N498+S501*G498),4)</f>
        <v>59.685000000000002</v>
      </c>
      <c r="Y501" s="48">
        <f>ROUND((M501*J498+1.3*N498+S501*G498),4)</f>
        <v>50.54</v>
      </c>
      <c r="Z501" s="49">
        <f>ROUND((P498*T501*F498*O498/1000000),4)</f>
        <v>0.25069999999999998</v>
      </c>
      <c r="AA501" s="49">
        <f>ROUND((Q498*U501*F498*O498/1000000),4)</f>
        <v>3.3799999999999997E-2</v>
      </c>
      <c r="AB501" s="49">
        <f>ROUND((R498*V501*F498*O498/1000000),4)</f>
        <v>3.7400000000000003E-2</v>
      </c>
      <c r="AC501" s="50" t="s">
        <v>205</v>
      </c>
      <c r="AD501" s="51" t="s">
        <v>206</v>
      </c>
      <c r="AE501" s="44">
        <f>ROUND((((X501*E498)/1800)),4)</f>
        <v>3.32E-2</v>
      </c>
      <c r="AF501" s="44">
        <f>ROUND(((Z501+AA501+AB501)),4)</f>
        <v>0.32190000000000002</v>
      </c>
    </row>
    <row r="502" spans="1:34" ht="12.95" customHeight="1" x14ac:dyDescent="0.25">
      <c r="A502" s="52"/>
      <c r="B502" s="53"/>
      <c r="C502" s="52"/>
      <c r="D502" s="52"/>
      <c r="E502" s="52"/>
      <c r="F502" s="63"/>
      <c r="G502" s="52"/>
      <c r="H502" s="52"/>
      <c r="I502" s="52"/>
      <c r="J502" s="52"/>
      <c r="K502" s="52"/>
      <c r="L502" s="59">
        <v>1.1299999999999999</v>
      </c>
      <c r="M502" s="59">
        <v>1.7</v>
      </c>
      <c r="N502" s="52"/>
      <c r="O502" s="52"/>
      <c r="P502" s="52"/>
      <c r="Q502" s="52"/>
      <c r="R502" s="52"/>
      <c r="S502" s="61">
        <v>0.26</v>
      </c>
      <c r="T502" s="48">
        <f>ROUND((L502*I498+1.3*L502*K498+S502*H498),4)</f>
        <v>1287.3585</v>
      </c>
      <c r="U502" s="48">
        <f>ROUND((M502*0.9*I498+1.3*M502*0.9*K498+S502*H498),4)</f>
        <v>1737.5385000000001</v>
      </c>
      <c r="V502" s="48">
        <f>ROUND((M502*I498+1.3*M502*K498+S502*H498),4)</f>
        <v>1928.865</v>
      </c>
      <c r="W502" s="48">
        <f>ROUND((L502*J498+1.3*L502*N498+S502*G498),4)</f>
        <v>32.07</v>
      </c>
      <c r="X502" s="48">
        <f>ROUND((M502*0.9*J498+1.3*M502*0.9*N498+S502*G498),4)</f>
        <v>42.87</v>
      </c>
      <c r="Y502" s="48">
        <f>ROUND((M502*J498+1.3*M502*N498+S502*G498),4)</f>
        <v>47.46</v>
      </c>
      <c r="Z502" s="49">
        <f>ROUND((P498*T502*F498*O498/1000000),4)</f>
        <v>0.1545</v>
      </c>
      <c r="AA502" s="49">
        <f>ROUND((Q498*U502*F498*O498/1000000),4)</f>
        <v>2.6100000000000002E-2</v>
      </c>
      <c r="AB502" s="49">
        <f>ROUND((R498*V502*F498*O498/1000000),4)</f>
        <v>2.8899999999999999E-2</v>
      </c>
      <c r="AC502" s="50" t="s">
        <v>250</v>
      </c>
      <c r="AD502" s="51" t="s">
        <v>208</v>
      </c>
      <c r="AE502" s="44">
        <f>ROUND((((X502*E498)/1800)),4)</f>
        <v>2.3800000000000002E-2</v>
      </c>
      <c r="AF502" s="44">
        <f>ROUND(((Z502+AA502+AB502)),4)</f>
        <v>0.20949999999999999</v>
      </c>
    </row>
    <row r="503" spans="1:34" ht="12.95" customHeight="1" x14ac:dyDescent="0.25">
      <c r="A503" s="52"/>
      <c r="B503" s="62"/>
      <c r="C503" s="56"/>
      <c r="D503" s="56"/>
      <c r="E503" s="56"/>
      <c r="F503" s="66"/>
      <c r="G503" s="56"/>
      <c r="H503" s="56"/>
      <c r="I503" s="56"/>
      <c r="J503" s="56"/>
      <c r="K503" s="56"/>
      <c r="L503" s="59">
        <v>5.3</v>
      </c>
      <c r="M503" s="59">
        <v>6.47</v>
      </c>
      <c r="N503" s="56"/>
      <c r="O503" s="56"/>
      <c r="P503" s="56"/>
      <c r="Q503" s="56"/>
      <c r="R503" s="56"/>
      <c r="S503" s="61">
        <v>9.92</v>
      </c>
      <c r="T503" s="48">
        <f>ROUND((L503*I498+1.3*L503*K498+S503*H498),4)</f>
        <v>6560.085</v>
      </c>
      <c r="U503" s="48">
        <f>ROUND((M503*0.9*I498+1.3*M503*0.9*K498+S503*H498),4)</f>
        <v>7148.6953999999996</v>
      </c>
      <c r="V503" s="48">
        <f>ROUND((M503*I498+1.3*M503*K498+S503*H498),4)</f>
        <v>7876.8615</v>
      </c>
      <c r="W503" s="48">
        <f>ROUND((L503*J498+1.3*L503*N498+S503*G498),4)</f>
        <v>202.62</v>
      </c>
      <c r="X503" s="48">
        <f>ROUND((M503*0.9*J498+1.3*M503*0.9*N498+S503*G498),4)</f>
        <v>216.74100000000001</v>
      </c>
      <c r="Y503" s="48">
        <f>ROUND((M503*J498+1.3*M503*N498+S503*G498),4)</f>
        <v>234.21</v>
      </c>
      <c r="Z503" s="49">
        <f>ROUND((P498*T503*F498*O498/1000000),4)</f>
        <v>0.78720000000000001</v>
      </c>
      <c r="AA503" s="49">
        <f>ROUND((Q498*U503*F498*O498/1000000),4)</f>
        <v>0.1072</v>
      </c>
      <c r="AB503" s="49">
        <f>ROUND((R498*V503*F498*O498/1000000),4)</f>
        <v>0.1182</v>
      </c>
      <c r="AC503" s="50" t="s">
        <v>170</v>
      </c>
      <c r="AD503" s="51" t="s">
        <v>162</v>
      </c>
      <c r="AE503" s="44">
        <f>ROUND((((X503*E498)/1800)),4)</f>
        <v>0.12039999999999999</v>
      </c>
      <c r="AF503" s="44">
        <f>ROUND(((Z503+AA503+AB503)),4)</f>
        <v>1.0125999999999999</v>
      </c>
    </row>
    <row r="504" spans="1:34" ht="12.95" customHeight="1" x14ac:dyDescent="0.25">
      <c r="A504" s="52"/>
      <c r="B504" s="67" t="s">
        <v>223</v>
      </c>
      <c r="C504" s="46">
        <v>1</v>
      </c>
      <c r="D504" s="45" t="s">
        <v>225</v>
      </c>
      <c r="E504" s="45">
        <v>1</v>
      </c>
      <c r="F504" s="45">
        <v>2</v>
      </c>
      <c r="G504" s="45">
        <v>6</v>
      </c>
      <c r="H504" s="45">
        <v>60</v>
      </c>
      <c r="I504" s="45">
        <f>(8-1-0.75*2)*60*F504-K504-8*0.12*60</f>
        <v>173.4</v>
      </c>
      <c r="J504" s="45">
        <v>14</v>
      </c>
      <c r="K504" s="45">
        <f>(8-1-0.75*2)*0.65*60*F504</f>
        <v>429</v>
      </c>
      <c r="L504" s="48">
        <v>0.47</v>
      </c>
      <c r="M504" s="48">
        <v>0.47</v>
      </c>
      <c r="N504" s="45">
        <v>10</v>
      </c>
      <c r="O504" s="45">
        <f>E504/F504</f>
        <v>0.5</v>
      </c>
      <c r="P504" s="45">
        <v>150</v>
      </c>
      <c r="Q504" s="45">
        <v>30</v>
      </c>
      <c r="R504" s="47">
        <v>0</v>
      </c>
      <c r="S504" s="47">
        <v>0.09</v>
      </c>
      <c r="T504" s="48">
        <f>ROUND((L504*I504+1.3*L504*K504+S504*H504),4)</f>
        <v>349.017</v>
      </c>
      <c r="U504" s="48">
        <f>ROUND((M504*I504+1.3*M504*K504+S504*H504),4)</f>
        <v>349.017</v>
      </c>
      <c r="V504" s="48">
        <f>ROUND((M504*I504+1.3*M504*K504+S504*H504),4)</f>
        <v>349.017</v>
      </c>
      <c r="W504" s="48">
        <f>ROUND((L504*J504+1.3*L504*N504+S504*G504),4)</f>
        <v>13.23</v>
      </c>
      <c r="X504" s="48">
        <f>ROUND((M504*J504+1.3*M504*N504+S504*G504),4)</f>
        <v>13.23</v>
      </c>
      <c r="Y504" s="48">
        <f>ROUND((M504*J504+1.3*M504*N504+S504*G504),4)</f>
        <v>13.23</v>
      </c>
      <c r="Z504" s="49">
        <f>ROUND((P504*T504*F504*O504/1000000),4)</f>
        <v>5.2400000000000002E-2</v>
      </c>
      <c r="AA504" s="49">
        <f>ROUND((Q504*U504*F504*O504/1000000),4)</f>
        <v>1.0500000000000001E-2</v>
      </c>
      <c r="AB504" s="49">
        <f>ROUND((R504*V504*F504*O504/1000000),4)</f>
        <v>0</v>
      </c>
      <c r="AC504" s="50" t="s">
        <v>200</v>
      </c>
      <c r="AD504" s="51" t="s">
        <v>153</v>
      </c>
      <c r="AE504" s="44">
        <f>ROUND((((X504*E504)/1800)*0.8),4)</f>
        <v>5.8999999999999999E-3</v>
      </c>
      <c r="AF504" s="44">
        <f>ROUND(((Z504+AA504+AB504)*0.8),4)</f>
        <v>5.0299999999999997E-2</v>
      </c>
      <c r="AG504" s="88"/>
      <c r="AH504" s="88"/>
    </row>
    <row r="505" spans="1:34" ht="12.95" customHeight="1" x14ac:dyDescent="0.25">
      <c r="A505" s="52"/>
      <c r="B505" s="53" t="s">
        <v>224</v>
      </c>
      <c r="C505" s="52"/>
      <c r="D505" s="52"/>
      <c r="E505" s="52"/>
      <c r="F505" s="63"/>
      <c r="G505" s="52"/>
      <c r="H505" s="52"/>
      <c r="I505" s="52"/>
      <c r="J505" s="52"/>
      <c r="K505" s="52"/>
      <c r="L505" s="56"/>
      <c r="M505" s="56"/>
      <c r="N505" s="52"/>
      <c r="O505" s="52"/>
      <c r="P505" s="52"/>
      <c r="Q505" s="52"/>
      <c r="R505" s="52"/>
      <c r="S505" s="57"/>
      <c r="T505" s="54"/>
      <c r="U505" s="54"/>
      <c r="V505" s="54"/>
      <c r="W505" s="54"/>
      <c r="X505" s="54"/>
      <c r="Y505" s="54"/>
      <c r="Z505" s="54"/>
      <c r="AA505" s="54"/>
      <c r="AB505" s="54"/>
      <c r="AC505" s="50" t="s">
        <v>201</v>
      </c>
      <c r="AD505" s="51" t="s">
        <v>202</v>
      </c>
      <c r="AE505" s="44">
        <f>ROUND((((X504*E504)/1800)*0.13),4)</f>
        <v>1E-3</v>
      </c>
      <c r="AF505" s="44">
        <f>ROUND(((Z504+AA504+AB504)*0.13),4)</f>
        <v>8.2000000000000007E-3</v>
      </c>
      <c r="AG505" s="88"/>
      <c r="AH505" s="88"/>
    </row>
    <row r="506" spans="1:34" ht="12.95" customHeight="1" x14ac:dyDescent="0.25">
      <c r="A506" s="52"/>
      <c r="B506" s="88"/>
      <c r="C506" s="55"/>
      <c r="D506" s="55"/>
      <c r="E506" s="52"/>
      <c r="F506" s="63"/>
      <c r="G506" s="52"/>
      <c r="H506" s="52"/>
      <c r="I506" s="52"/>
      <c r="J506" s="52"/>
      <c r="K506" s="52"/>
      <c r="L506" s="59">
        <v>0.8</v>
      </c>
      <c r="M506" s="59">
        <v>0.98</v>
      </c>
      <c r="N506" s="52"/>
      <c r="O506" s="52"/>
      <c r="P506" s="52"/>
      <c r="Q506" s="52"/>
      <c r="R506" s="52"/>
      <c r="S506" s="60">
        <v>1.7999999999999999E-2</v>
      </c>
      <c r="T506" s="48">
        <f>ROUND((L506*I504+1.3*L506*K504+S506*H504),4)</f>
        <v>585.96</v>
      </c>
      <c r="U506" s="48">
        <f>ROUND((M506*0.9*I504+1.3*M506*0.9*K504+S506*H504),4)</f>
        <v>645.91020000000003</v>
      </c>
      <c r="V506" s="48">
        <f>ROUND((M506*I504+1.3*M506*K504+S506*H504),4)</f>
        <v>717.55799999999999</v>
      </c>
      <c r="W506" s="48">
        <f>ROUND((L506*J504+1.3*L506*N504+S506*G504),4)</f>
        <v>21.707999999999998</v>
      </c>
      <c r="X506" s="48">
        <f>ROUND((M506*0.9*J504+1.3*M506*0.9*N504+S506*G504),4)</f>
        <v>23.922000000000001</v>
      </c>
      <c r="Y506" s="48">
        <f>ROUND((M506*J504+1.3*M506*N504+S506*G504),4)</f>
        <v>26.568000000000001</v>
      </c>
      <c r="Z506" s="49">
        <f>ROUND((P504*T506*F504*O504/1000000),4)</f>
        <v>8.7900000000000006E-2</v>
      </c>
      <c r="AA506" s="49">
        <f>ROUND((Q504*U506*F504*O504/1000000),4)</f>
        <v>1.9400000000000001E-2</v>
      </c>
      <c r="AB506" s="49">
        <f>ROUND((R504*V506*F504*O504/1000000),4)</f>
        <v>0</v>
      </c>
      <c r="AC506" s="50" t="s">
        <v>203</v>
      </c>
      <c r="AD506" s="51" t="s">
        <v>204</v>
      </c>
      <c r="AE506" s="44">
        <f>ROUND((((X506*E504)/1800)),4)</f>
        <v>1.3299999999999999E-2</v>
      </c>
      <c r="AF506" s="44">
        <f>ROUND(((Z506+AA506+AB506)),5)</f>
        <v>0.10730000000000001</v>
      </c>
      <c r="AG506" s="88"/>
      <c r="AH506" s="88"/>
    </row>
    <row r="507" spans="1:34" ht="12.95" customHeight="1" x14ac:dyDescent="0.25">
      <c r="A507" s="52"/>
      <c r="B507" s="88"/>
      <c r="C507" s="52"/>
      <c r="D507" s="52"/>
      <c r="E507" s="52"/>
      <c r="F507" s="63"/>
      <c r="G507" s="52"/>
      <c r="H507" s="52"/>
      <c r="I507" s="52"/>
      <c r="J507" s="52"/>
      <c r="K507" s="52"/>
      <c r="L507" s="59">
        <v>0.08</v>
      </c>
      <c r="M507" s="59">
        <v>0.1</v>
      </c>
      <c r="N507" s="52"/>
      <c r="O507" s="52"/>
      <c r="P507" s="52"/>
      <c r="Q507" s="52"/>
      <c r="R507" s="52"/>
      <c r="S507" s="61">
        <v>0.06</v>
      </c>
      <c r="T507" s="48">
        <f>ROUND((L507*I504+1.3*L507*K504+S507*H504),4)</f>
        <v>62.088000000000001</v>
      </c>
      <c r="U507" s="48">
        <f>ROUND((M507*0.9*I504+1.3*M507*0.9*K504+S507*H504),4)</f>
        <v>69.399000000000001</v>
      </c>
      <c r="V507" s="48">
        <f>ROUND((M507*I504+1.3*M507*K504+S507*H504),4)</f>
        <v>76.709999999999994</v>
      </c>
      <c r="W507" s="48">
        <f>ROUND((L507*J504+1.3*L507*N504+S507*G504),4)</f>
        <v>2.52</v>
      </c>
      <c r="X507" s="48">
        <f>ROUND((M507*0.9*J504+1.3*M507*0.9*N504+S507*G504),4)</f>
        <v>2.79</v>
      </c>
      <c r="Y507" s="48">
        <f>ROUND((M507*J504+1.3*N504+S507*G504),4)</f>
        <v>14.76</v>
      </c>
      <c r="Z507" s="49">
        <f>ROUND((P504*T507*F504*O504/1000000),4)</f>
        <v>9.2999999999999992E-3</v>
      </c>
      <c r="AA507" s="49">
        <f>ROUND((Q504*U507*F504*O504/1000000),4)</f>
        <v>2.0999999999999999E-3</v>
      </c>
      <c r="AB507" s="49">
        <f>ROUND((R504*V507*F504*O504/1000000),4)</f>
        <v>0</v>
      </c>
      <c r="AC507" s="50" t="s">
        <v>205</v>
      </c>
      <c r="AD507" s="51" t="s">
        <v>206</v>
      </c>
      <c r="AE507" s="44">
        <f>ROUND((((X507*E504)/1800)),4)</f>
        <v>1.6000000000000001E-3</v>
      </c>
      <c r="AF507" s="44">
        <f>ROUND(((Z507+AA507+AB507)),4)</f>
        <v>1.14E-2</v>
      </c>
      <c r="AG507" s="88"/>
      <c r="AH507" s="88"/>
    </row>
    <row r="508" spans="1:34" ht="12.95" customHeight="1" x14ac:dyDescent="0.25">
      <c r="A508" s="52"/>
      <c r="B508" s="53"/>
      <c r="C508" s="52"/>
      <c r="D508" s="52"/>
      <c r="E508" s="52"/>
      <c r="F508" s="63"/>
      <c r="G508" s="52"/>
      <c r="H508" s="52"/>
      <c r="I508" s="52"/>
      <c r="J508" s="52"/>
      <c r="K508" s="52"/>
      <c r="L508" s="59">
        <v>0.05</v>
      </c>
      <c r="M508" s="59">
        <v>7.0000000000000007E-2</v>
      </c>
      <c r="N508" s="52"/>
      <c r="O508" s="52"/>
      <c r="P508" s="52"/>
      <c r="Q508" s="52"/>
      <c r="R508" s="52"/>
      <c r="S508" s="61">
        <v>0.01</v>
      </c>
      <c r="T508" s="48">
        <f>ROUND((L508*I504+1.3*L508*K504+S508*H504),4)</f>
        <v>37.155000000000001</v>
      </c>
      <c r="U508" s="48">
        <f>ROUND((M508*0.9*I504+1.3*M508*0.9*K504+S508*H504),4)</f>
        <v>46.659300000000002</v>
      </c>
      <c r="V508" s="48">
        <f>ROUND((M508*I504+1.3*M508*K504+S508*H504),4)</f>
        <v>51.777000000000001</v>
      </c>
      <c r="W508" s="48">
        <f>ROUND((L508*J504+1.3*L508*N504+S508*G504),4)</f>
        <v>1.41</v>
      </c>
      <c r="X508" s="48">
        <f>ROUND((M508*0.9*J504+1.3*M508*0.9*N504+S508*G504),4)</f>
        <v>1.7609999999999999</v>
      </c>
      <c r="Y508" s="48">
        <f>ROUND((M508*J504+1.3*M508*N504+S508*G504),4)</f>
        <v>1.95</v>
      </c>
      <c r="Z508" s="49">
        <f>ROUND((P504*T508*F504*O504/1000000),4)</f>
        <v>5.5999999999999999E-3</v>
      </c>
      <c r="AA508" s="49">
        <f>ROUND((Q504*U508*F504*O504/1000000),4)</f>
        <v>1.4E-3</v>
      </c>
      <c r="AB508" s="49">
        <f>ROUND((R504*V508*F504*O504/1000000),4)</f>
        <v>0</v>
      </c>
      <c r="AC508" s="50" t="s">
        <v>250</v>
      </c>
      <c r="AD508" s="51" t="s">
        <v>208</v>
      </c>
      <c r="AE508" s="44">
        <f>ROUND((((X508*E504)/1800)),4)</f>
        <v>1E-3</v>
      </c>
      <c r="AF508" s="44">
        <f>ROUND(((Z508+AA508+AB508)),4)</f>
        <v>7.0000000000000001E-3</v>
      </c>
      <c r="AG508" s="88"/>
      <c r="AH508" s="88"/>
    </row>
    <row r="509" spans="1:34" ht="12.95" customHeight="1" x14ac:dyDescent="0.25">
      <c r="A509" s="52"/>
      <c r="B509" s="62"/>
      <c r="C509" s="56"/>
      <c r="D509" s="56"/>
      <c r="E509" s="56"/>
      <c r="F509" s="66"/>
      <c r="G509" s="56"/>
      <c r="H509" s="56"/>
      <c r="I509" s="56"/>
      <c r="J509" s="56"/>
      <c r="K509" s="56"/>
      <c r="L509" s="59">
        <v>3.5999999999999997E-2</v>
      </c>
      <c r="M509" s="59">
        <v>4.3999999999999997E-2</v>
      </c>
      <c r="N509" s="56"/>
      <c r="O509" s="56"/>
      <c r="P509" s="56"/>
      <c r="Q509" s="56"/>
      <c r="R509" s="56"/>
      <c r="S509" s="61">
        <v>0.45</v>
      </c>
      <c r="T509" s="48">
        <f>ROUND((L509*I504+1.3*L509*K504+S509*H504),4)</f>
        <v>53.319600000000001</v>
      </c>
      <c r="U509" s="48">
        <f>ROUND((M509*0.9*I504+1.3*M509*0.9*K504+S509*H504),4)</f>
        <v>55.951599999999999</v>
      </c>
      <c r="V509" s="48">
        <f>ROUND((M509*I504+1.3*M509*K504+S509*H504),4)</f>
        <v>59.168399999999998</v>
      </c>
      <c r="W509" s="48">
        <f>ROUND((L509*J504+1.3*L509*N504+S509*G504),4)</f>
        <v>3.6720000000000002</v>
      </c>
      <c r="X509" s="48">
        <f>ROUND((M509*0.9*J504+1.3*M509*0.9*N504+S509*G504),4)</f>
        <v>3.7692000000000001</v>
      </c>
      <c r="Y509" s="48">
        <f>ROUND((M509*J504+1.3*M509*N504+S509*G504),4)</f>
        <v>3.8879999999999999</v>
      </c>
      <c r="Z509" s="49">
        <f>ROUND((P504*T509*F504*O504/1000000),4)</f>
        <v>8.0000000000000002E-3</v>
      </c>
      <c r="AA509" s="49">
        <f>ROUND((Q504*U509*F504*O504/1000000),4)</f>
        <v>1.6999999999999999E-3</v>
      </c>
      <c r="AB509" s="49">
        <f>ROUND((R504*V509*F504*O504/1000000),4)</f>
        <v>0</v>
      </c>
      <c r="AC509" s="50" t="s">
        <v>170</v>
      </c>
      <c r="AD509" s="51" t="s">
        <v>162</v>
      </c>
      <c r="AE509" s="44">
        <f>ROUND((((X509*E504)/1800)),4)</f>
        <v>2.0999999999999999E-3</v>
      </c>
      <c r="AF509" s="44">
        <f>ROUND(((Z509+AA509+AB509)),4)</f>
        <v>9.7000000000000003E-3</v>
      </c>
      <c r="AG509" s="88"/>
      <c r="AH509" s="88"/>
    </row>
    <row r="510" spans="1:34" ht="12.95" customHeight="1" x14ac:dyDescent="0.25">
      <c r="A510" s="89"/>
      <c r="B510" s="46" t="s">
        <v>234</v>
      </c>
      <c r="C510" s="46">
        <v>6</v>
      </c>
      <c r="D510" s="45" t="s">
        <v>210</v>
      </c>
      <c r="E510" s="45">
        <v>1</v>
      </c>
      <c r="F510" s="45">
        <v>1</v>
      </c>
      <c r="G510" s="45">
        <v>6</v>
      </c>
      <c r="H510" s="45">
        <v>60</v>
      </c>
      <c r="I510" s="45">
        <f>(8-1-0.75*2)*60*F510-K510-8*0.12*60</f>
        <v>57.900000000000006</v>
      </c>
      <c r="J510" s="45">
        <v>14</v>
      </c>
      <c r="K510" s="45">
        <f>(8-1-0.75*2)*0.65*60*F510</f>
        <v>214.5</v>
      </c>
      <c r="L510" s="48">
        <v>6.47</v>
      </c>
      <c r="M510" s="48">
        <v>6.47</v>
      </c>
      <c r="N510" s="45">
        <v>10</v>
      </c>
      <c r="O510" s="45">
        <f>E510/F510</f>
        <v>1</v>
      </c>
      <c r="P510" s="45">
        <v>30</v>
      </c>
      <c r="Q510" s="45">
        <v>0</v>
      </c>
      <c r="R510" s="47">
        <v>0</v>
      </c>
      <c r="S510" s="47">
        <v>1.27</v>
      </c>
      <c r="T510" s="48">
        <f>ROUND((L510*I510+1.3*L510*K510+S510*H510),4)</f>
        <v>2254.9724999999999</v>
      </c>
      <c r="U510" s="48">
        <f>ROUND((M510*I510+1.3*M510*K510+S510*H510),4)</f>
        <v>2254.9724999999999</v>
      </c>
      <c r="V510" s="48">
        <f>ROUND((M510*I510+1.3*M510*K510+S510*H510),4)</f>
        <v>2254.9724999999999</v>
      </c>
      <c r="W510" s="48">
        <f>ROUND((L510*J510+1.3*L510*N510+S510*G510),4)</f>
        <v>182.31</v>
      </c>
      <c r="X510" s="48">
        <f>ROUND((M510*J510+1.3*M510*N510+S510*G510),4)</f>
        <v>182.31</v>
      </c>
      <c r="Y510" s="48">
        <f>ROUND((M510*J510+1.3*M510*N510+S510*G510),4)</f>
        <v>182.31</v>
      </c>
      <c r="Z510" s="49">
        <f>ROUND((P510*T510*F510*O510/1000000),4)</f>
        <v>6.7599999999999993E-2</v>
      </c>
      <c r="AA510" s="49">
        <f>ROUND((Q510*U510*F510*O510/1000000),4)</f>
        <v>0</v>
      </c>
      <c r="AB510" s="49">
        <f>ROUND((R510*V510*F510*O510/1000000),4)</f>
        <v>0</v>
      </c>
      <c r="AC510" s="50" t="s">
        <v>200</v>
      </c>
      <c r="AD510" s="51" t="s">
        <v>153</v>
      </c>
      <c r="AE510" s="44">
        <f>ROUND((((X510*E510)/1800)*0.8),4)</f>
        <v>8.1000000000000003E-2</v>
      </c>
      <c r="AF510" s="44">
        <f>ROUND(((Z510+AA510+AB510)*0.8),4)</f>
        <v>5.4100000000000002E-2</v>
      </c>
      <c r="AG510" s="88"/>
      <c r="AH510" s="88"/>
    </row>
    <row r="511" spans="1:34" ht="12.95" customHeight="1" x14ac:dyDescent="0.25">
      <c r="A511" s="89"/>
      <c r="B511" s="53" t="s">
        <v>235</v>
      </c>
      <c r="C511" s="52"/>
      <c r="D511" s="52"/>
      <c r="E511" s="52"/>
      <c r="F511" s="63"/>
      <c r="G511" s="52"/>
      <c r="H511" s="52"/>
      <c r="I511" s="52"/>
      <c r="J511" s="52"/>
      <c r="K511" s="52"/>
      <c r="L511" s="56"/>
      <c r="M511" s="56"/>
      <c r="N511" s="52"/>
      <c r="O511" s="52"/>
      <c r="P511" s="52"/>
      <c r="Q511" s="52"/>
      <c r="R511" s="52"/>
      <c r="S511" s="57"/>
      <c r="T511" s="54"/>
      <c r="U511" s="54"/>
      <c r="V511" s="54"/>
      <c r="W511" s="54"/>
      <c r="X511" s="54"/>
      <c r="Y511" s="54"/>
      <c r="Z511" s="54"/>
      <c r="AA511" s="54"/>
      <c r="AB511" s="54"/>
      <c r="AC511" s="50" t="s">
        <v>201</v>
      </c>
      <c r="AD511" s="51" t="s">
        <v>202</v>
      </c>
      <c r="AE511" s="44">
        <f>ROUND((((X510*E510)/1800)*0.13),4)</f>
        <v>1.32E-2</v>
      </c>
      <c r="AF511" s="44">
        <f>ROUND(((Z510+AA510+AB510)*0.13),4)</f>
        <v>8.8000000000000005E-3</v>
      </c>
      <c r="AG511" s="88"/>
      <c r="AH511" s="88"/>
    </row>
    <row r="512" spans="1:34" ht="12.95" customHeight="1" x14ac:dyDescent="0.25">
      <c r="A512" s="89"/>
      <c r="B512" s="67"/>
      <c r="C512" s="55"/>
      <c r="D512" s="55"/>
      <c r="E512" s="52"/>
      <c r="F512" s="63"/>
      <c r="G512" s="52"/>
      <c r="H512" s="52"/>
      <c r="I512" s="52"/>
      <c r="J512" s="52"/>
      <c r="K512" s="52"/>
      <c r="L512" s="59">
        <v>0.51</v>
      </c>
      <c r="M512" s="59">
        <v>0.63</v>
      </c>
      <c r="N512" s="52"/>
      <c r="O512" s="52"/>
      <c r="P512" s="52"/>
      <c r="Q512" s="52"/>
      <c r="R512" s="52"/>
      <c r="S512" s="60">
        <v>0.25</v>
      </c>
      <c r="T512" s="48">
        <f>ROUND((L512*I510+1.3*L512*K510+S512*H510),4)</f>
        <v>186.74250000000001</v>
      </c>
      <c r="U512" s="48">
        <f>ROUND((M512*0.9*I510+1.3*M512*0.9*K510+S512*H510),4)</f>
        <v>205.93729999999999</v>
      </c>
      <c r="V512" s="48">
        <f>ROUND((M512*I510+1.3*M512*K510+S512*H510),4)</f>
        <v>227.1525</v>
      </c>
      <c r="W512" s="48">
        <f>ROUND((L512*J510+1.3*L512*N510+S512*G510),4)</f>
        <v>15.27</v>
      </c>
      <c r="X512" s="48">
        <f>ROUND((M512*0.9*J510+1.3*M512*0.9*N510+S512*G510),4)</f>
        <v>16.809000000000001</v>
      </c>
      <c r="Y512" s="48">
        <f>ROUND((M512*J510+1.3*M512*N510+S512*G510),4)</f>
        <v>18.510000000000002</v>
      </c>
      <c r="Z512" s="49">
        <f>ROUND((P510*T512*F510*O510/1000000),4)</f>
        <v>5.5999999999999999E-3</v>
      </c>
      <c r="AA512" s="49">
        <f>ROUND((Q510*U512*F510*O510/1000000),4)</f>
        <v>0</v>
      </c>
      <c r="AB512" s="49">
        <f>ROUND((R510*V512*F510*O510/1000000),4)</f>
        <v>0</v>
      </c>
      <c r="AC512" s="50" t="s">
        <v>203</v>
      </c>
      <c r="AD512" s="51" t="s">
        <v>204</v>
      </c>
      <c r="AE512" s="44">
        <f>ROUND((((X512*E510)/1800)),4)</f>
        <v>9.2999999999999992E-3</v>
      </c>
      <c r="AF512" s="44">
        <f>ROUND(((Z512+AA512+AB512)),5)</f>
        <v>5.5999999999999999E-3</v>
      </c>
      <c r="AG512" s="88"/>
      <c r="AH512" s="88"/>
    </row>
    <row r="513" spans="1:34" ht="12.95" customHeight="1" x14ac:dyDescent="0.25">
      <c r="A513" s="89"/>
      <c r="B513" s="53"/>
      <c r="C513" s="52"/>
      <c r="D513" s="52"/>
      <c r="E513" s="52"/>
      <c r="F513" s="63"/>
      <c r="G513" s="52"/>
      <c r="H513" s="52"/>
      <c r="I513" s="52"/>
      <c r="J513" s="52"/>
      <c r="K513" s="52"/>
      <c r="L513" s="59">
        <v>1.1399999999999999</v>
      </c>
      <c r="M513" s="59">
        <v>1.37</v>
      </c>
      <c r="N513" s="52"/>
      <c r="O513" s="52"/>
      <c r="P513" s="52"/>
      <c r="Q513" s="52"/>
      <c r="R513" s="52"/>
      <c r="S513" s="61">
        <v>0.79</v>
      </c>
      <c r="T513" s="48">
        <f>ROUND((L513*I510+1.3*L513*K510+S513*H510),4)</f>
        <v>431.29500000000002</v>
      </c>
      <c r="U513" s="48">
        <f>ROUND((M513*0.9*I510+1.3*M513*0.9*K510+S513*H510),4)</f>
        <v>462.61279999999999</v>
      </c>
      <c r="V513" s="48">
        <f>ROUND((M513*I510+1.3*M513*K510+S513*H510),4)</f>
        <v>508.7475</v>
      </c>
      <c r="W513" s="48">
        <f>ROUND((L513*J510+1.3*L513*N510+S513*G510),4)</f>
        <v>35.520000000000003</v>
      </c>
      <c r="X513" s="48">
        <f>ROUND((M513*0.9*J510+1.3*M513*0.9*N510+S513*G510),4)</f>
        <v>38.030999999999999</v>
      </c>
      <c r="Y513" s="48">
        <f>ROUND((M513*J510+1.3*N510+S513*G510),4)</f>
        <v>36.92</v>
      </c>
      <c r="Z513" s="49">
        <f>ROUND((P510*T513*F510*O510/1000000),4)</f>
        <v>1.29E-2</v>
      </c>
      <c r="AA513" s="49">
        <f>ROUND((Q510*U513*F510*O510/1000000),4)</f>
        <v>0</v>
      </c>
      <c r="AB513" s="49">
        <f>ROUND((R510*V513*F510*O510/1000000),4)</f>
        <v>0</v>
      </c>
      <c r="AC513" s="50" t="s">
        <v>205</v>
      </c>
      <c r="AD513" s="51" t="s">
        <v>206</v>
      </c>
      <c r="AE513" s="44">
        <f>ROUND((((X513*E510)/1800)),4)</f>
        <v>2.1100000000000001E-2</v>
      </c>
      <c r="AF513" s="44">
        <f>ROUND(((Z513+AA513+AB513)),4)</f>
        <v>1.29E-2</v>
      </c>
      <c r="AG513" s="88"/>
      <c r="AH513" s="88"/>
    </row>
    <row r="514" spans="1:34" ht="12.95" customHeight="1" x14ac:dyDescent="0.25">
      <c r="A514" s="89"/>
      <c r="B514" s="53"/>
      <c r="C514" s="52"/>
      <c r="D514" s="52"/>
      <c r="E514" s="52"/>
      <c r="F514" s="63"/>
      <c r="G514" s="52"/>
      <c r="H514" s="52"/>
      <c r="I514" s="52"/>
      <c r="J514" s="52"/>
      <c r="K514" s="52"/>
      <c r="L514" s="59">
        <v>0.72</v>
      </c>
      <c r="M514" s="59">
        <v>1.08</v>
      </c>
      <c r="N514" s="52"/>
      <c r="O514" s="52"/>
      <c r="P514" s="52"/>
      <c r="Q514" s="52"/>
      <c r="R514" s="52"/>
      <c r="S514" s="61">
        <v>0.17</v>
      </c>
      <c r="T514" s="48">
        <f>ROUND((L514*I510+1.3*L514*K510+S514*H510),4)</f>
        <v>252.66</v>
      </c>
      <c r="U514" s="48">
        <f>ROUND((M514*0.9*I510+1.3*M514*0.9*K510+S514*H510),4)</f>
        <v>337.52100000000002</v>
      </c>
      <c r="V514" s="48">
        <f>ROUND((M514*I510+1.3*M514*K510+S514*H510),4)</f>
        <v>373.89</v>
      </c>
      <c r="W514" s="48">
        <f>ROUND((L514*J510+1.3*L514*N510+S514*G510),4)</f>
        <v>20.46</v>
      </c>
      <c r="X514" s="48">
        <f>ROUND((M514*0.9*J510+1.3*M514*0.9*N510+S514*G510),4)</f>
        <v>27.263999999999999</v>
      </c>
      <c r="Y514" s="48">
        <f>ROUND((M514*J510+1.3*M514*N510+S514*G510),4)</f>
        <v>30.18</v>
      </c>
      <c r="Z514" s="49">
        <f>ROUND((P510*T514*F510*O510/1000000),4)</f>
        <v>7.6E-3</v>
      </c>
      <c r="AA514" s="49">
        <f>ROUND((Q510*U514*F510*O510/1000000),4)</f>
        <v>0</v>
      </c>
      <c r="AB514" s="49">
        <f>ROUND((R510*V514*F510*O510/1000000),4)</f>
        <v>0</v>
      </c>
      <c r="AC514" s="50" t="s">
        <v>250</v>
      </c>
      <c r="AD514" s="51" t="s">
        <v>208</v>
      </c>
      <c r="AE514" s="44">
        <f>ROUND((((X514*E510)/1800)),4)</f>
        <v>1.5100000000000001E-2</v>
      </c>
      <c r="AF514" s="44">
        <f>ROUND(((Z514+AA514+AB514)),4)</f>
        <v>7.6E-3</v>
      </c>
      <c r="AG514" s="88"/>
      <c r="AH514" s="88"/>
    </row>
    <row r="515" spans="1:34" ht="12.95" customHeight="1" x14ac:dyDescent="0.25">
      <c r="A515" s="89"/>
      <c r="B515" s="62"/>
      <c r="C515" s="56"/>
      <c r="D515" s="56"/>
      <c r="E515" s="56"/>
      <c r="F515" s="66"/>
      <c r="G515" s="56"/>
      <c r="H515" s="56"/>
      <c r="I515" s="56"/>
      <c r="J515" s="56"/>
      <c r="K515" s="56"/>
      <c r="L515" s="59">
        <v>3.37</v>
      </c>
      <c r="M515" s="59">
        <v>4.1100000000000003</v>
      </c>
      <c r="N515" s="56"/>
      <c r="O515" s="56"/>
      <c r="P515" s="56"/>
      <c r="Q515" s="56"/>
      <c r="R515" s="56"/>
      <c r="S515" s="61">
        <v>6.31</v>
      </c>
      <c r="T515" s="48">
        <f>ROUND((L515*I510+1.3*L515*K510+S515*H510),4)</f>
        <v>1513.4475</v>
      </c>
      <c r="U515" s="48">
        <f>ROUND((M515*0.9*I510+1.3*M515*0.9*K510+S515*H510),4)</f>
        <v>1624.2383</v>
      </c>
      <c r="V515" s="48">
        <f>ROUND((M515*I510+1.3*M515*K510+S515*H510),4)</f>
        <v>1762.6424999999999</v>
      </c>
      <c r="W515" s="48">
        <f>ROUND((L515*J510+1.3*L515*N510+S515*G510),4)</f>
        <v>128.85</v>
      </c>
      <c r="X515" s="48">
        <f>ROUND((M515*0.9*J510+1.3*M515*0.9*N510+S515*G510),4)</f>
        <v>137.733</v>
      </c>
      <c r="Y515" s="48">
        <f>ROUND((M515*J510+1.3*M515*N510+S515*G510),4)</f>
        <v>148.83000000000001</v>
      </c>
      <c r="Z515" s="49">
        <f>ROUND((P510*T515*F510*O510/1000000),4)</f>
        <v>4.5400000000000003E-2</v>
      </c>
      <c r="AA515" s="49">
        <f>ROUND((Q510*U515*F510*O510/1000000),4)</f>
        <v>0</v>
      </c>
      <c r="AB515" s="49">
        <f>ROUND((R510*V515*F510*O510/1000000),4)</f>
        <v>0</v>
      </c>
      <c r="AC515" s="50" t="s">
        <v>170</v>
      </c>
      <c r="AD515" s="51" t="s">
        <v>162</v>
      </c>
      <c r="AE515" s="44">
        <f>ROUND((((X515*E510)/1800)),4)</f>
        <v>7.6499999999999999E-2</v>
      </c>
      <c r="AF515" s="44">
        <f>ROUND(((Z515+AA515+AB515)),4)</f>
        <v>4.5400000000000003E-2</v>
      </c>
      <c r="AG515" s="88"/>
      <c r="AH515" s="88"/>
    </row>
    <row r="516" spans="1:34" ht="12.95" customHeight="1" x14ac:dyDescent="0.25">
      <c r="A516" s="52"/>
      <c r="B516" s="67" t="s">
        <v>220</v>
      </c>
      <c r="C516" s="46">
        <v>7</v>
      </c>
      <c r="D516" s="45" t="s">
        <v>217</v>
      </c>
      <c r="E516" s="45">
        <v>1</v>
      </c>
      <c r="F516" s="45">
        <v>1</v>
      </c>
      <c r="G516" s="45">
        <v>6</v>
      </c>
      <c r="H516" s="45">
        <v>60</v>
      </c>
      <c r="I516" s="45">
        <f>(8-1-0.75*2)*60*F516-K516-8*0.12*60</f>
        <v>57.900000000000006</v>
      </c>
      <c r="J516" s="45">
        <v>14</v>
      </c>
      <c r="K516" s="45">
        <f>(8-1-0.75*2)*0.65*60*F516</f>
        <v>214.5</v>
      </c>
      <c r="L516" s="48">
        <v>10.16</v>
      </c>
      <c r="M516" s="48">
        <v>10.16</v>
      </c>
      <c r="N516" s="45">
        <v>10</v>
      </c>
      <c r="O516" s="45">
        <f>E516/F516</f>
        <v>1</v>
      </c>
      <c r="P516" s="45">
        <v>15</v>
      </c>
      <c r="Q516" s="45">
        <v>15</v>
      </c>
      <c r="R516" s="47">
        <v>0</v>
      </c>
      <c r="S516" s="47">
        <v>1.99</v>
      </c>
      <c r="T516" s="48">
        <f>ROUND((L516*I516+1.3*L516*K516+S516*H516),4)</f>
        <v>3540.78</v>
      </c>
      <c r="U516" s="48">
        <f>ROUND((M516*I516+1.3*M516*K516+S516*H516),4)</f>
        <v>3540.78</v>
      </c>
      <c r="V516" s="48">
        <f>ROUND((M516*I516+1.3*M516*K516+S516*H516),4)</f>
        <v>3540.78</v>
      </c>
      <c r="W516" s="48">
        <f>ROUND((L516*J516+1.3*L516*N516+S516*G516),4)</f>
        <v>286.26</v>
      </c>
      <c r="X516" s="48">
        <f>ROUND((M516*J516+1.3*M516*N516+S516*G516),4)</f>
        <v>286.26</v>
      </c>
      <c r="Y516" s="48">
        <f>ROUND((M516*J516+1.3*M516*N516+S516*G516),4)</f>
        <v>286.26</v>
      </c>
      <c r="Z516" s="49">
        <f>ROUND((P516*T516*F516*O516/1000000),4)</f>
        <v>5.3100000000000001E-2</v>
      </c>
      <c r="AA516" s="49">
        <f>ROUND((Q516*U516*F516*O516/1000000),4)</f>
        <v>5.3100000000000001E-2</v>
      </c>
      <c r="AB516" s="49">
        <f>ROUND((R516*V516*F516*O516/1000000),4)</f>
        <v>0</v>
      </c>
      <c r="AC516" s="50" t="s">
        <v>200</v>
      </c>
      <c r="AD516" s="51" t="s">
        <v>153</v>
      </c>
      <c r="AE516" s="44">
        <f>ROUND((((X516*E516)/1800)*0.8),4)</f>
        <v>0.12720000000000001</v>
      </c>
      <c r="AF516" s="44">
        <f>ROUND(((Z516+AA516+AB516)*0.8),4)</f>
        <v>8.5000000000000006E-2</v>
      </c>
    </row>
    <row r="517" spans="1:34" ht="12.95" customHeight="1" x14ac:dyDescent="0.25">
      <c r="A517" s="52"/>
      <c r="B517" s="53" t="s">
        <v>221</v>
      </c>
      <c r="C517" s="52"/>
      <c r="D517" s="52"/>
      <c r="E517" s="52"/>
      <c r="F517" s="63"/>
      <c r="G517" s="52"/>
      <c r="H517" s="52"/>
      <c r="I517" s="52"/>
      <c r="J517" s="52"/>
      <c r="K517" s="52"/>
      <c r="L517" s="56"/>
      <c r="M517" s="56"/>
      <c r="N517" s="52"/>
      <c r="O517" s="52"/>
      <c r="P517" s="52"/>
      <c r="Q517" s="52"/>
      <c r="R517" s="52"/>
      <c r="S517" s="57"/>
      <c r="T517" s="54"/>
      <c r="U517" s="54"/>
      <c r="V517" s="54"/>
      <c r="W517" s="54"/>
      <c r="X517" s="54"/>
      <c r="Y517" s="54"/>
      <c r="Z517" s="54"/>
      <c r="AA517" s="54"/>
      <c r="AB517" s="54"/>
      <c r="AC517" s="50" t="s">
        <v>201</v>
      </c>
      <c r="AD517" s="51" t="s">
        <v>202</v>
      </c>
      <c r="AE517" s="44">
        <f>ROUND((((X516*E516)/1800)*0.13),4)</f>
        <v>2.07E-2</v>
      </c>
      <c r="AF517" s="44">
        <f>ROUND(((Z516+AA516+AB516)*0.13),4)</f>
        <v>1.38E-2</v>
      </c>
    </row>
    <row r="518" spans="1:34" ht="12.95" customHeight="1" x14ac:dyDescent="0.25">
      <c r="A518" s="52"/>
      <c r="B518" s="88"/>
      <c r="C518" s="55"/>
      <c r="D518" s="55"/>
      <c r="E518" s="52"/>
      <c r="F518" s="63"/>
      <c r="G518" s="52"/>
      <c r="H518" s="52"/>
      <c r="I518" s="52"/>
      <c r="J518" s="52"/>
      <c r="K518" s="52"/>
      <c r="L518" s="59">
        <v>0.8</v>
      </c>
      <c r="M518" s="59">
        <v>0.98</v>
      </c>
      <c r="N518" s="52"/>
      <c r="O518" s="52"/>
      <c r="P518" s="52"/>
      <c r="Q518" s="52"/>
      <c r="R518" s="52"/>
      <c r="S518" s="60">
        <v>0.39</v>
      </c>
      <c r="T518" s="48">
        <f>ROUND((L518*I516+1.3*L518*K516+S518*H516),4)</f>
        <v>292.8</v>
      </c>
      <c r="U518" s="48">
        <f>ROUND((M518*0.9*I516+1.3*M518*0.9*K516+S518*H516),4)</f>
        <v>320.4135</v>
      </c>
      <c r="V518" s="48">
        <f>ROUND((M518*I516+1.3*M518*K516+S518*H516),4)</f>
        <v>353.41500000000002</v>
      </c>
      <c r="W518" s="48">
        <f>ROUND((L518*J516+1.3*L518*N516+S518*G516),4)</f>
        <v>23.94</v>
      </c>
      <c r="X518" s="48">
        <f>ROUND((M518*0.9*J516+1.3*M518*0.9*N516+S518*G516),4)</f>
        <v>26.154</v>
      </c>
      <c r="Y518" s="48">
        <f>ROUND((M518*J516+1.3*M518*N516+S518*G516),4)</f>
        <v>28.8</v>
      </c>
      <c r="Z518" s="49">
        <f>ROUND((P516*T518*F516*O516/1000000),4)</f>
        <v>4.4000000000000003E-3</v>
      </c>
      <c r="AA518" s="49">
        <f>ROUND((Q516*U518*F516*O516/1000000),4)</f>
        <v>4.7999999999999996E-3</v>
      </c>
      <c r="AB518" s="49">
        <f>ROUND((R516*V518*F516*O516/1000000),4)</f>
        <v>0</v>
      </c>
      <c r="AC518" s="50" t="s">
        <v>203</v>
      </c>
      <c r="AD518" s="51" t="s">
        <v>204</v>
      </c>
      <c r="AE518" s="44">
        <f>ROUND((((X518*E516)/1800)),4)</f>
        <v>1.4500000000000001E-2</v>
      </c>
      <c r="AF518" s="44">
        <f>ROUND(((Z518+AA518+AB518)),5)</f>
        <v>9.1999999999999998E-3</v>
      </c>
    </row>
    <row r="519" spans="1:34" ht="12.95" customHeight="1" x14ac:dyDescent="0.25">
      <c r="A519" s="52"/>
      <c r="B519" s="88"/>
      <c r="C519" s="52"/>
      <c r="D519" s="52"/>
      <c r="E519" s="52"/>
      <c r="F519" s="63"/>
      <c r="G519" s="52"/>
      <c r="H519" s="52"/>
      <c r="I519" s="52"/>
      <c r="J519" s="52"/>
      <c r="K519" s="52"/>
      <c r="L519" s="59">
        <v>1.79</v>
      </c>
      <c r="M519" s="59">
        <v>2.15</v>
      </c>
      <c r="N519" s="52"/>
      <c r="O519" s="52"/>
      <c r="P519" s="52"/>
      <c r="Q519" s="52"/>
      <c r="R519" s="52"/>
      <c r="S519" s="61">
        <v>1.24</v>
      </c>
      <c r="T519" s="48">
        <f>ROUND((L519*I516+1.3*L519*K516+S519*H516),4)</f>
        <v>677.1825</v>
      </c>
      <c r="U519" s="48">
        <f>ROUND((M519*0.9*I516+1.3*M519*0.9*K516+S519*H516),4)</f>
        <v>726.01130000000001</v>
      </c>
      <c r="V519" s="48">
        <f>ROUND((M519*I516+1.3*M519*K516+S519*H516),4)</f>
        <v>798.41250000000002</v>
      </c>
      <c r="W519" s="48">
        <f>ROUND((L519*J516+1.3*L519*N516+S519*G516),4)</f>
        <v>55.77</v>
      </c>
      <c r="X519" s="48">
        <f>ROUND((M519*0.9*J516+1.3*M519*0.9*N516+S519*G516),4)</f>
        <v>59.685000000000002</v>
      </c>
      <c r="Y519" s="48">
        <f>ROUND((M519*J516+1.3*N516+S519*G516),4)</f>
        <v>50.54</v>
      </c>
      <c r="Z519" s="49">
        <f>ROUND((P516*T519*F516*O516/1000000),4)</f>
        <v>1.0200000000000001E-2</v>
      </c>
      <c r="AA519" s="49">
        <f>ROUND((Q516*U519*F516*O516/1000000),4)</f>
        <v>1.09E-2</v>
      </c>
      <c r="AB519" s="49">
        <f>ROUND((R516*V519*F516*O516/1000000),4)</f>
        <v>0</v>
      </c>
      <c r="AC519" s="50" t="s">
        <v>205</v>
      </c>
      <c r="AD519" s="51" t="s">
        <v>206</v>
      </c>
      <c r="AE519" s="44">
        <f>ROUND((((X519*E516)/1800)),4)</f>
        <v>3.32E-2</v>
      </c>
      <c r="AF519" s="44">
        <f>ROUND(((Z519+AA519+AB519)),4)</f>
        <v>2.1100000000000001E-2</v>
      </c>
    </row>
    <row r="520" spans="1:34" ht="12.95" customHeight="1" x14ac:dyDescent="0.25">
      <c r="A520" s="52"/>
      <c r="B520" s="53"/>
      <c r="C520" s="52"/>
      <c r="D520" s="52"/>
      <c r="E520" s="52"/>
      <c r="F520" s="63"/>
      <c r="G520" s="52"/>
      <c r="H520" s="52"/>
      <c r="I520" s="52"/>
      <c r="J520" s="52"/>
      <c r="K520" s="52"/>
      <c r="L520" s="59">
        <v>1.1299999999999999</v>
      </c>
      <c r="M520" s="59">
        <v>1.7</v>
      </c>
      <c r="N520" s="52"/>
      <c r="O520" s="52"/>
      <c r="P520" s="52"/>
      <c r="Q520" s="52"/>
      <c r="R520" s="52"/>
      <c r="S520" s="61">
        <v>0.26</v>
      </c>
      <c r="T520" s="48">
        <f>ROUND((L520*I516+1.3*L520*K516+S520*H516),4)</f>
        <v>396.1275</v>
      </c>
      <c r="U520" s="48">
        <f>ROUND((M520*0.9*I516+1.3*M520*0.9*K516+S520*H516),4)</f>
        <v>530.82749999999999</v>
      </c>
      <c r="V520" s="48">
        <f>ROUND((M520*I516+1.3*M520*K516+S520*H516),4)</f>
        <v>588.07500000000005</v>
      </c>
      <c r="W520" s="48">
        <f>ROUND((L520*J516+1.3*L520*N516+S520*G516),4)</f>
        <v>32.07</v>
      </c>
      <c r="X520" s="48">
        <f>ROUND((M520*0.9*J516+1.3*M520*0.9*N516+S520*G516),4)</f>
        <v>42.87</v>
      </c>
      <c r="Y520" s="48">
        <f>ROUND((M520*J516+1.3*M520*N516+S520*G516),4)</f>
        <v>47.46</v>
      </c>
      <c r="Z520" s="49">
        <f>ROUND((P516*T520*F516*O516/1000000),4)</f>
        <v>5.8999999999999999E-3</v>
      </c>
      <c r="AA520" s="49">
        <f>ROUND((Q516*U520*F516*O516/1000000),4)</f>
        <v>8.0000000000000002E-3</v>
      </c>
      <c r="AB520" s="49">
        <f>ROUND((R516*V520*F516*O516/1000000),4)</f>
        <v>0</v>
      </c>
      <c r="AC520" s="50" t="s">
        <v>250</v>
      </c>
      <c r="AD520" s="51" t="s">
        <v>208</v>
      </c>
      <c r="AE520" s="44">
        <f>ROUND((((X520*E516)/1800)),4)</f>
        <v>2.3800000000000002E-2</v>
      </c>
      <c r="AF520" s="44">
        <f>ROUND(((Z520+AA520+AB520)),4)</f>
        <v>1.3899999999999999E-2</v>
      </c>
    </row>
    <row r="521" spans="1:34" ht="12.95" customHeight="1" x14ac:dyDescent="0.25">
      <c r="A521" s="52"/>
      <c r="B521" s="62"/>
      <c r="C521" s="56"/>
      <c r="D521" s="56"/>
      <c r="E521" s="56"/>
      <c r="F521" s="66"/>
      <c r="G521" s="56"/>
      <c r="H521" s="56"/>
      <c r="I521" s="56"/>
      <c r="J521" s="56"/>
      <c r="K521" s="56"/>
      <c r="L521" s="59">
        <v>5.3</v>
      </c>
      <c r="M521" s="59">
        <v>6.47</v>
      </c>
      <c r="N521" s="56"/>
      <c r="O521" s="56"/>
      <c r="P521" s="56"/>
      <c r="Q521" s="56"/>
      <c r="R521" s="56"/>
      <c r="S521" s="61">
        <v>9.92</v>
      </c>
      <c r="T521" s="48">
        <f>ROUND((L521*I516+1.3*L521*K516+S521*H516),4)</f>
        <v>2379.9749999999999</v>
      </c>
      <c r="U521" s="48">
        <f>ROUND((M521*0.9*I516+1.3*M521*0.9*K516+S521*H516),4)</f>
        <v>2556.0953</v>
      </c>
      <c r="V521" s="48">
        <f>ROUND((M521*I516+1.3*M521*K516+S521*H516),4)</f>
        <v>2773.9724999999999</v>
      </c>
      <c r="W521" s="48">
        <f>ROUND((L521*J516+1.3*L521*N516+S521*G516),4)</f>
        <v>202.62</v>
      </c>
      <c r="X521" s="48">
        <f>ROUND((M521*0.9*J516+1.3*M521*0.9*N516+S521*G516),4)</f>
        <v>216.74100000000001</v>
      </c>
      <c r="Y521" s="48">
        <f>ROUND((M521*J516+1.3*M521*N516+S521*G516),4)</f>
        <v>234.21</v>
      </c>
      <c r="Z521" s="49">
        <f>ROUND((P516*T521*F516*O516/1000000),4)</f>
        <v>3.5700000000000003E-2</v>
      </c>
      <c r="AA521" s="49">
        <f>ROUND((Q516*U521*F516*O516/1000000),4)</f>
        <v>3.8300000000000001E-2</v>
      </c>
      <c r="AB521" s="49">
        <f>ROUND((R516*V521*F516*O516/1000000),4)</f>
        <v>0</v>
      </c>
      <c r="AC521" s="50" t="s">
        <v>170</v>
      </c>
      <c r="AD521" s="51" t="s">
        <v>162</v>
      </c>
      <c r="AE521" s="44">
        <f>ROUND((((X521*E516)/1800)),4)</f>
        <v>0.12039999999999999</v>
      </c>
      <c r="AF521" s="44">
        <f>ROUND(((Z521+AA521+AB521)),4)</f>
        <v>7.3999999999999996E-2</v>
      </c>
    </row>
    <row r="522" spans="1:34" ht="12.95" customHeight="1" x14ac:dyDescent="0.25">
      <c r="A522" s="52"/>
      <c r="B522" s="67" t="s">
        <v>242</v>
      </c>
      <c r="C522" s="46">
        <v>3</v>
      </c>
      <c r="D522" s="45" t="s">
        <v>228</v>
      </c>
      <c r="E522" s="45">
        <v>1</v>
      </c>
      <c r="F522" s="45">
        <v>1</v>
      </c>
      <c r="G522" s="45">
        <v>6</v>
      </c>
      <c r="H522" s="45">
        <v>60</v>
      </c>
      <c r="I522" s="45">
        <f>(8-1-0.75*2)*60*F522-K522-8*0.12*60</f>
        <v>57.900000000000006</v>
      </c>
      <c r="J522" s="45">
        <v>14</v>
      </c>
      <c r="K522" s="45">
        <f>(8-1-0.75*2)*0.65*60*F522</f>
        <v>214.5</v>
      </c>
      <c r="L522" s="48">
        <v>1.49</v>
      </c>
      <c r="M522" s="48">
        <v>1.49</v>
      </c>
      <c r="N522" s="45">
        <v>10</v>
      </c>
      <c r="O522" s="45">
        <f>E522/F522</f>
        <v>1</v>
      </c>
      <c r="P522" s="45">
        <v>120</v>
      </c>
      <c r="Q522" s="45">
        <v>60</v>
      </c>
      <c r="R522" s="47">
        <v>60</v>
      </c>
      <c r="S522" s="47">
        <v>0.28999999999999998</v>
      </c>
      <c r="T522" s="48">
        <f>ROUND((L522*I522+1.3*L522*K522+S522*H522),4)</f>
        <v>519.15750000000003</v>
      </c>
      <c r="U522" s="48">
        <f>ROUND((M522*I522+1.3*M522*K522+S522*H522),4)</f>
        <v>519.15750000000003</v>
      </c>
      <c r="V522" s="48">
        <f>ROUND((M522*I522+1.3*M522*K522+S522*H522),4)</f>
        <v>519.15750000000003</v>
      </c>
      <c r="W522" s="48">
        <f>ROUND((L522*J522+1.3*L522*N522+S522*G522),4)</f>
        <v>41.97</v>
      </c>
      <c r="X522" s="48">
        <f>ROUND((M522*J522+1.3*M522*N522+S522*G522),4)</f>
        <v>41.97</v>
      </c>
      <c r="Y522" s="48">
        <f>ROUND((M522*J522+1.3*M522*N522+S522*G522),4)</f>
        <v>41.97</v>
      </c>
      <c r="Z522" s="49">
        <f>ROUND((P522*T522*F522*O522/1000000),4)</f>
        <v>6.2300000000000001E-2</v>
      </c>
      <c r="AA522" s="49">
        <f>ROUND((Q522*U522*F522*O522/1000000),4)</f>
        <v>3.1099999999999999E-2</v>
      </c>
      <c r="AB522" s="49">
        <f>ROUND((R522*V522*F522*O522/1000000),4)</f>
        <v>3.1099999999999999E-2</v>
      </c>
      <c r="AC522" s="50" t="s">
        <v>200</v>
      </c>
      <c r="AD522" s="51" t="s">
        <v>153</v>
      </c>
      <c r="AE522" s="44">
        <f>ROUND((((X522*E522)/1800)*0.8),4)</f>
        <v>1.8700000000000001E-2</v>
      </c>
      <c r="AF522" s="44">
        <f>ROUND(((Z522+AA522+AB522)*0.8),4)</f>
        <v>9.9599999999999994E-2</v>
      </c>
      <c r="AG522" s="88"/>
      <c r="AH522" s="88"/>
    </row>
    <row r="523" spans="1:34" ht="12.95" customHeight="1" x14ac:dyDescent="0.25">
      <c r="A523" s="52"/>
      <c r="B523" s="53" t="s">
        <v>243</v>
      </c>
      <c r="C523" s="52"/>
      <c r="D523" s="52"/>
      <c r="E523" s="52"/>
      <c r="F523" s="63"/>
      <c r="G523" s="52"/>
      <c r="H523" s="52"/>
      <c r="I523" s="52"/>
      <c r="J523" s="52"/>
      <c r="K523" s="52"/>
      <c r="L523" s="56"/>
      <c r="M523" s="56"/>
      <c r="N523" s="52"/>
      <c r="O523" s="52"/>
      <c r="P523" s="52"/>
      <c r="Q523" s="52"/>
      <c r="R523" s="52"/>
      <c r="S523" s="57"/>
      <c r="T523" s="54"/>
      <c r="U523" s="54"/>
      <c r="V523" s="54"/>
      <c r="W523" s="54"/>
      <c r="X523" s="54"/>
      <c r="Y523" s="54"/>
      <c r="Z523" s="54"/>
      <c r="AA523" s="54"/>
      <c r="AB523" s="54"/>
      <c r="AC523" s="50" t="s">
        <v>201</v>
      </c>
      <c r="AD523" s="51" t="s">
        <v>202</v>
      </c>
      <c r="AE523" s="44">
        <f>ROUND((((X522*E522)/1800)*0.13),4)</f>
        <v>3.0000000000000001E-3</v>
      </c>
      <c r="AF523" s="44">
        <f>ROUND(((Z522+AA522+AB522)*0.13),4)</f>
        <v>1.6199999999999999E-2</v>
      </c>
      <c r="AG523" s="88"/>
      <c r="AH523" s="88"/>
    </row>
    <row r="524" spans="1:34" ht="12.95" customHeight="1" x14ac:dyDescent="0.25">
      <c r="A524" s="52"/>
      <c r="B524" s="88"/>
      <c r="C524" s="55"/>
      <c r="D524" s="55"/>
      <c r="E524" s="52"/>
      <c r="F524" s="63"/>
      <c r="G524" s="52"/>
      <c r="H524" s="52"/>
      <c r="I524" s="52"/>
      <c r="J524" s="52"/>
      <c r="K524" s="52"/>
      <c r="L524" s="59">
        <v>0.12</v>
      </c>
      <c r="M524" s="59">
        <v>0.15</v>
      </c>
      <c r="N524" s="52"/>
      <c r="O524" s="52"/>
      <c r="P524" s="52"/>
      <c r="Q524" s="52"/>
      <c r="R524" s="52"/>
      <c r="S524" s="60">
        <v>5.8000000000000003E-2</v>
      </c>
      <c r="T524" s="48">
        <f>ROUND((L524*I522+1.3*L524*K522+S524*H522),4)</f>
        <v>43.89</v>
      </c>
      <c r="U524" s="48">
        <f>ROUND((M524*0.9*I522+1.3*M524*0.9*K522+S524*H522),4)</f>
        <v>48.941299999999998</v>
      </c>
      <c r="V524" s="48">
        <f>ROUND((M524*I522+1.3*M524*K522+S524*H522),4)</f>
        <v>53.9925</v>
      </c>
      <c r="W524" s="48">
        <f>ROUND((L524*J522+1.3*L524*N522+S524*G522),4)</f>
        <v>3.5880000000000001</v>
      </c>
      <c r="X524" s="48">
        <f>ROUND((M524*0.9*J522+1.3*M524*0.9*N522+S524*G522),4)</f>
        <v>3.9929999999999999</v>
      </c>
      <c r="Y524" s="48">
        <f>ROUND((M524*J522+1.3*M524*N522+S524*G522),4)</f>
        <v>4.3979999999999997</v>
      </c>
      <c r="Z524" s="49">
        <f>ROUND((P522*T524*F522*O522/1000000),4)</f>
        <v>5.3E-3</v>
      </c>
      <c r="AA524" s="49">
        <f>ROUND((Q522*U524*F522*O522/1000000),4)</f>
        <v>2.8999999999999998E-3</v>
      </c>
      <c r="AB524" s="49">
        <f>ROUND((R522*V524*F522*O522/1000000),4)</f>
        <v>3.2000000000000002E-3</v>
      </c>
      <c r="AC524" s="50" t="s">
        <v>203</v>
      </c>
      <c r="AD524" s="51" t="s">
        <v>204</v>
      </c>
      <c r="AE524" s="44">
        <f>ROUND((((X524*E522)/1800)),4)</f>
        <v>2.2000000000000001E-3</v>
      </c>
      <c r="AF524" s="44">
        <f>ROUND(((Z524+AA524+AB524)),5)</f>
        <v>1.14E-2</v>
      </c>
      <c r="AG524" s="88"/>
      <c r="AH524" s="88"/>
    </row>
    <row r="525" spans="1:34" ht="12.95" customHeight="1" x14ac:dyDescent="0.25">
      <c r="A525" s="52"/>
      <c r="B525" s="88"/>
      <c r="C525" s="52"/>
      <c r="D525" s="52"/>
      <c r="E525" s="52"/>
      <c r="F525" s="63"/>
      <c r="G525" s="52"/>
      <c r="H525" s="52"/>
      <c r="I525" s="52"/>
      <c r="J525" s="52"/>
      <c r="K525" s="52"/>
      <c r="L525" s="59">
        <v>0.26</v>
      </c>
      <c r="M525" s="59">
        <v>0.31</v>
      </c>
      <c r="N525" s="52"/>
      <c r="O525" s="52"/>
      <c r="P525" s="52"/>
      <c r="Q525" s="52"/>
      <c r="R525" s="52"/>
      <c r="S525" s="61">
        <v>0.18</v>
      </c>
      <c r="T525" s="48">
        <f>ROUND((L525*I522+1.3*L525*K522+S525*H522),4)</f>
        <v>98.355000000000004</v>
      </c>
      <c r="U525" s="48">
        <f>ROUND((M525*0.9*I522+1.3*M525*0.9*K522+S525*H522),4)</f>
        <v>104.7533</v>
      </c>
      <c r="V525" s="48">
        <f>ROUND((M525*I522+1.3*M525*K522+S525*H522),4)</f>
        <v>115.1925</v>
      </c>
      <c r="W525" s="48">
        <f>ROUND((L525*J522+1.3*L525*N522+S525*G522),4)</f>
        <v>8.1</v>
      </c>
      <c r="X525" s="48">
        <f>ROUND((M525*0.9*J522+1.3*M525*0.9*N522+S525*G522),4)</f>
        <v>8.6129999999999995</v>
      </c>
      <c r="Y525" s="48">
        <f>ROUND((M525*J522+1.3*N522+S525*G522),4)</f>
        <v>18.420000000000002</v>
      </c>
      <c r="Z525" s="49">
        <f>ROUND((P522*T525*F522*O522/1000000),4)</f>
        <v>1.18E-2</v>
      </c>
      <c r="AA525" s="49">
        <f>ROUND((Q522*U525*F522*O522/1000000),4)</f>
        <v>6.3E-3</v>
      </c>
      <c r="AB525" s="49">
        <f>ROUND((R522*V525*F522*O522/1000000),4)</f>
        <v>6.8999999999999999E-3</v>
      </c>
      <c r="AC525" s="50" t="s">
        <v>205</v>
      </c>
      <c r="AD525" s="51" t="s">
        <v>206</v>
      </c>
      <c r="AE525" s="44">
        <f>ROUND((((X525*E522)/1800)),4)</f>
        <v>4.7999999999999996E-3</v>
      </c>
      <c r="AF525" s="44">
        <f>ROUND(((Z525+AA525+AB525)),4)</f>
        <v>2.5000000000000001E-2</v>
      </c>
      <c r="AG525" s="88"/>
      <c r="AH525" s="88"/>
    </row>
    <row r="526" spans="1:34" ht="12.95" customHeight="1" x14ac:dyDescent="0.25">
      <c r="A526" s="52"/>
      <c r="B526" s="53"/>
      <c r="C526" s="52"/>
      <c r="D526" s="52"/>
      <c r="E526" s="52"/>
      <c r="F526" s="63"/>
      <c r="G526" s="52"/>
      <c r="H526" s="52"/>
      <c r="I526" s="52"/>
      <c r="J526" s="52"/>
      <c r="K526" s="52"/>
      <c r="L526" s="59">
        <v>0.17</v>
      </c>
      <c r="M526" s="59">
        <v>0.25</v>
      </c>
      <c r="N526" s="52"/>
      <c r="O526" s="52"/>
      <c r="P526" s="52"/>
      <c r="Q526" s="52"/>
      <c r="R526" s="52"/>
      <c r="S526" s="61">
        <v>0.04</v>
      </c>
      <c r="T526" s="48">
        <f>ROUND((L526*I522+1.3*L526*K522+S526*H522),4)</f>
        <v>59.647500000000001</v>
      </c>
      <c r="U526" s="48">
        <f>ROUND((M526*0.9*I522+1.3*M526*0.9*K522+S526*H522),4)</f>
        <v>78.168800000000005</v>
      </c>
      <c r="V526" s="48">
        <f>ROUND((M526*I522+1.3*M526*K522+S526*H522),4)</f>
        <v>86.587500000000006</v>
      </c>
      <c r="W526" s="48">
        <f>ROUND((L526*J522+1.3*L526*N522+S526*G522),4)</f>
        <v>4.83</v>
      </c>
      <c r="X526" s="48">
        <f>ROUND((M526*0.9*J522+1.3*M526*0.9*N522+S526*G522),4)</f>
        <v>6.3150000000000004</v>
      </c>
      <c r="Y526" s="48">
        <f>ROUND((M526*J522+1.3*M526*N522+S526*G522),4)</f>
        <v>6.99</v>
      </c>
      <c r="Z526" s="49">
        <f>ROUND((P522*T526*F522*O522/1000000),4)</f>
        <v>7.1999999999999998E-3</v>
      </c>
      <c r="AA526" s="49">
        <f>ROUND((Q522*U526*F522*O522/1000000),4)</f>
        <v>4.7000000000000002E-3</v>
      </c>
      <c r="AB526" s="49">
        <f>ROUND((R522*V526*F522*O522/1000000),4)</f>
        <v>5.1999999999999998E-3</v>
      </c>
      <c r="AC526" s="50" t="s">
        <v>250</v>
      </c>
      <c r="AD526" s="51" t="s">
        <v>208</v>
      </c>
      <c r="AE526" s="44">
        <f>ROUND((((X526*E522)/1800)),4)</f>
        <v>3.5000000000000001E-3</v>
      </c>
      <c r="AF526" s="44">
        <f>ROUND(((Z526+AA526+AB526)),4)</f>
        <v>1.7100000000000001E-2</v>
      </c>
      <c r="AG526" s="88"/>
      <c r="AH526" s="88"/>
    </row>
    <row r="527" spans="1:34" ht="12.95" customHeight="1" x14ac:dyDescent="0.25">
      <c r="A527" s="56"/>
      <c r="B527" s="62"/>
      <c r="C527" s="56"/>
      <c r="D527" s="56"/>
      <c r="E527" s="56"/>
      <c r="F527" s="66"/>
      <c r="G527" s="56"/>
      <c r="H527" s="56"/>
      <c r="I527" s="56"/>
      <c r="J527" s="56"/>
      <c r="K527" s="56"/>
      <c r="L527" s="59">
        <v>0.77</v>
      </c>
      <c r="M527" s="59">
        <v>0.94</v>
      </c>
      <c r="N527" s="56"/>
      <c r="O527" s="56"/>
      <c r="P527" s="56"/>
      <c r="Q527" s="56"/>
      <c r="R527" s="56"/>
      <c r="S527" s="61">
        <v>1.44</v>
      </c>
      <c r="T527" s="48">
        <f>ROUND((L527*I522+1.3*L527*K522+S527*H522),4)</f>
        <v>345.69749999999999</v>
      </c>
      <c r="U527" s="48">
        <f>ROUND((M527*0.9*I522+1.3*M527*0.9*K522+S527*H522),4)</f>
        <v>371.29050000000001</v>
      </c>
      <c r="V527" s="48">
        <f>ROUND((M527*I522+1.3*M527*K522+S527*H522),4)</f>
        <v>402.94499999999999</v>
      </c>
      <c r="W527" s="48">
        <f>ROUND((L527*J522+1.3*L527*N522+S527*G522),4)</f>
        <v>29.43</v>
      </c>
      <c r="X527" s="48">
        <f>ROUND((M527*0.9*J522+1.3*M527*0.9*N522+S527*G522),4)</f>
        <v>31.481999999999999</v>
      </c>
      <c r="Y527" s="48">
        <f>ROUND((M527*J522+1.3*M527*N522+S527*G522),4)</f>
        <v>34.020000000000003</v>
      </c>
      <c r="Z527" s="49">
        <f>ROUND((P522*T527*F522*O522/1000000),4)</f>
        <v>4.1500000000000002E-2</v>
      </c>
      <c r="AA527" s="49">
        <f>ROUND((Q522*U527*F522*O522/1000000),4)</f>
        <v>2.23E-2</v>
      </c>
      <c r="AB527" s="49">
        <f>ROUND((R522*V527*F522*O522/1000000),4)</f>
        <v>2.4199999999999999E-2</v>
      </c>
      <c r="AC527" s="50" t="s">
        <v>170</v>
      </c>
      <c r="AD527" s="51" t="s">
        <v>162</v>
      </c>
      <c r="AE527" s="44">
        <f>ROUND((((X527*E522)/1800)),4)</f>
        <v>1.7500000000000002E-2</v>
      </c>
      <c r="AF527" s="44">
        <f>ROUND(((Z527+AA527+AB527)),4)</f>
        <v>8.7999999999999995E-2</v>
      </c>
      <c r="AG527" s="87"/>
      <c r="AH527" s="87"/>
    </row>
    <row r="528" spans="1:34" s="285" customFormat="1" ht="12.95" customHeight="1" x14ac:dyDescent="0.2">
      <c r="A528" s="1057" t="s">
        <v>553</v>
      </c>
      <c r="B528" s="1058"/>
      <c r="C528" s="1058"/>
      <c r="D528" s="1058"/>
      <c r="E528" s="1058"/>
      <c r="F528" s="1058"/>
      <c r="G528" s="1058"/>
      <c r="H528" s="1058"/>
      <c r="I528" s="1058"/>
      <c r="J528" s="1058"/>
      <c r="K528" s="1058"/>
      <c r="L528" s="1058"/>
      <c r="M528" s="1058"/>
      <c r="N528" s="1058"/>
      <c r="O528" s="1058"/>
      <c r="P528" s="1058"/>
      <c r="Q528" s="1058"/>
      <c r="R528" s="1058"/>
      <c r="S528" s="1059"/>
      <c r="T528" s="280">
        <f>ROUND((L528*I528+1.3*L528*K528+S528*H528),4)</f>
        <v>0</v>
      </c>
      <c r="U528" s="280">
        <f>ROUND((M528*I528+1.3*M528*K528+S528*H528),4)</f>
        <v>0</v>
      </c>
      <c r="V528" s="280">
        <f>ROUND((M528*I528+1.3*M528*K528+S528*H528),4)</f>
        <v>0</v>
      </c>
      <c r="W528" s="280">
        <f>ROUND((L528*J528+1.3*L528*N528+S528*G528),4)</f>
        <v>0</v>
      </c>
      <c r="X528" s="280">
        <f>ROUND((M528*J528+1.3*M528*N528+S528*G528),4)</f>
        <v>0</v>
      </c>
      <c r="Y528" s="280">
        <f>ROUND((M528*J528+1.3*M528*N528+S528*G528),4)</f>
        <v>0</v>
      </c>
      <c r="Z528" s="281">
        <f>ROUND((P528*T528*F528*O528/1000000),4)</f>
        <v>0</v>
      </c>
      <c r="AA528" s="281">
        <f>ROUND((Q528*U528*F528*O528/1000000),4)</f>
        <v>0</v>
      </c>
      <c r="AB528" s="281">
        <f>ROUND((R528*V528*F528*O528/1000000),4)</f>
        <v>0</v>
      </c>
      <c r="AC528" s="282" t="s">
        <v>200</v>
      </c>
      <c r="AD528" s="283" t="s">
        <v>153</v>
      </c>
      <c r="AE528" s="284">
        <f>MAX(AE462,AE468,AE474,AE480,AE486,AE492,AE498,AE504,AE510,AE516,AE522)</f>
        <v>0.12720000000000001</v>
      </c>
      <c r="AF528" s="284">
        <f>AF462+AF468+AF474+AF480+AF486+AF492+AF498+AF504+AF510+AF516+AF522</f>
        <v>8.6217000000000024</v>
      </c>
      <c r="AG528" s="292"/>
      <c r="AH528" s="292"/>
    </row>
    <row r="529" spans="1:34" s="285" customFormat="1" ht="12.95" customHeight="1" x14ac:dyDescent="0.2">
      <c r="A529" s="1057"/>
      <c r="B529" s="1060"/>
      <c r="C529" s="1060"/>
      <c r="D529" s="1060"/>
      <c r="E529" s="1060"/>
      <c r="F529" s="1060"/>
      <c r="G529" s="1060"/>
      <c r="H529" s="1060"/>
      <c r="I529" s="1060"/>
      <c r="J529" s="1060"/>
      <c r="K529" s="1060"/>
      <c r="L529" s="1060"/>
      <c r="M529" s="1060"/>
      <c r="N529" s="1060"/>
      <c r="O529" s="1060"/>
      <c r="P529" s="1060"/>
      <c r="Q529" s="1060"/>
      <c r="R529" s="1060"/>
      <c r="S529" s="1061"/>
      <c r="T529" s="286"/>
      <c r="U529" s="286"/>
      <c r="V529" s="286"/>
      <c r="W529" s="286"/>
      <c r="X529" s="286"/>
      <c r="Y529" s="286"/>
      <c r="Z529" s="286"/>
      <c r="AA529" s="286"/>
      <c r="AB529" s="286"/>
      <c r="AC529" s="282" t="s">
        <v>201</v>
      </c>
      <c r="AD529" s="283" t="s">
        <v>202</v>
      </c>
      <c r="AE529" s="284">
        <f t="shared" ref="AE529:AE533" si="8">MAX(AE463,AE469,AE475,AE481,AE487,AE493,AE499,AE505,AE511,AE517,AE523)</f>
        <v>2.07E-2</v>
      </c>
      <c r="AF529" s="284">
        <f t="shared" ref="AF529:AF533" si="9">AF463+AF469+AF475+AF481+AF487+AF493+AF499+AF505+AF511+AF517+AF523</f>
        <v>1.4009999999999998</v>
      </c>
      <c r="AG529" s="292"/>
      <c r="AH529" s="292"/>
    </row>
    <row r="530" spans="1:34" s="285" customFormat="1" ht="12.95" customHeight="1" x14ac:dyDescent="0.2">
      <c r="A530" s="1057"/>
      <c r="B530" s="1060"/>
      <c r="C530" s="1060"/>
      <c r="D530" s="1060"/>
      <c r="E530" s="1060"/>
      <c r="F530" s="1060"/>
      <c r="G530" s="1060"/>
      <c r="H530" s="1060"/>
      <c r="I530" s="1060"/>
      <c r="J530" s="1060"/>
      <c r="K530" s="1060"/>
      <c r="L530" s="1060"/>
      <c r="M530" s="1060"/>
      <c r="N530" s="1060"/>
      <c r="O530" s="1060"/>
      <c r="P530" s="1060"/>
      <c r="Q530" s="1060"/>
      <c r="R530" s="1060"/>
      <c r="S530" s="1061"/>
      <c r="T530" s="280">
        <f>ROUND((L530*I528+1.3*L530*K528+S530*H528),4)</f>
        <v>0</v>
      </c>
      <c r="U530" s="280">
        <f>ROUND((M530*0.9*I528+1.3*M530*0.9*K528+S530*H528),4)</f>
        <v>0</v>
      </c>
      <c r="V530" s="280">
        <f>ROUND((M530*I528+1.3*M530*K528+S530*H528),4)</f>
        <v>0</v>
      </c>
      <c r="W530" s="280">
        <f>ROUND((L530*J528+1.3*L530*N528+S530*G528),4)</f>
        <v>0</v>
      </c>
      <c r="X530" s="280">
        <f>ROUND((M530*0.9*J528+1.3*M530*0.9*N528+S530*G528),4)</f>
        <v>0</v>
      </c>
      <c r="Y530" s="280">
        <f>ROUND((M530*J528+1.3*M530*N528+S530*G528),4)</f>
        <v>0</v>
      </c>
      <c r="Z530" s="281">
        <f>ROUND((P528*T530*F528*O528/1000000),4)</f>
        <v>0</v>
      </c>
      <c r="AA530" s="281">
        <f>ROUND((Q528*U530*F528*O528/1000000),4)</f>
        <v>0</v>
      </c>
      <c r="AB530" s="281">
        <f>ROUND((R528*V530*F528*O528/1000000),4)</f>
        <v>0</v>
      </c>
      <c r="AC530" s="282" t="s">
        <v>203</v>
      </c>
      <c r="AD530" s="283" t="s">
        <v>204</v>
      </c>
      <c r="AE530" s="284">
        <f t="shared" si="8"/>
        <v>1.4500000000000001E-2</v>
      </c>
      <c r="AF530" s="284">
        <f t="shared" si="9"/>
        <v>1.0056</v>
      </c>
      <c r="AG530" s="292"/>
      <c r="AH530" s="292"/>
    </row>
    <row r="531" spans="1:34" s="285" customFormat="1" ht="12.95" customHeight="1" x14ac:dyDescent="0.2">
      <c r="A531" s="1057"/>
      <c r="B531" s="1060"/>
      <c r="C531" s="1060"/>
      <c r="D531" s="1060"/>
      <c r="E531" s="1060"/>
      <c r="F531" s="1060"/>
      <c r="G531" s="1060"/>
      <c r="H531" s="1060"/>
      <c r="I531" s="1060"/>
      <c r="J531" s="1060"/>
      <c r="K531" s="1060"/>
      <c r="L531" s="1060"/>
      <c r="M531" s="1060"/>
      <c r="N531" s="1060"/>
      <c r="O531" s="1060"/>
      <c r="P531" s="1060"/>
      <c r="Q531" s="1060"/>
      <c r="R531" s="1060"/>
      <c r="S531" s="1061"/>
      <c r="T531" s="280">
        <f>ROUND((L531*I528+1.3*L531*K528+S531*H528),4)</f>
        <v>0</v>
      </c>
      <c r="U531" s="280">
        <f>ROUND((M531*0.9*I528+1.3*M531*0.9*K528+S531*H528),4)</f>
        <v>0</v>
      </c>
      <c r="V531" s="280">
        <f>ROUND((M531*I528+1.3*M531*K528+S531*H528),4)</f>
        <v>0</v>
      </c>
      <c r="W531" s="280">
        <f>ROUND((L531*J528+1.3*L531*N528+S531*G528),4)</f>
        <v>0</v>
      </c>
      <c r="X531" s="280">
        <f>ROUND((M531*0.9*J528+1.3*M531*0.9*N528+S531*G528),4)</f>
        <v>0</v>
      </c>
      <c r="Y531" s="280">
        <f>ROUND((M531*J528+1.3*N528+S531*G528),4)</f>
        <v>0</v>
      </c>
      <c r="Z531" s="281">
        <f>ROUND((P528*T531*F528*O528/1000000),4)</f>
        <v>0</v>
      </c>
      <c r="AA531" s="281">
        <f>ROUND((Q528*U531*F528*O528/1000000),4)</f>
        <v>0</v>
      </c>
      <c r="AB531" s="281">
        <f>ROUND((R528*V531*F528*O528/1000000),4)</f>
        <v>0</v>
      </c>
      <c r="AC531" s="282" t="s">
        <v>205</v>
      </c>
      <c r="AD531" s="283" t="s">
        <v>206</v>
      </c>
      <c r="AE531" s="284">
        <f t="shared" si="8"/>
        <v>3.32E-2</v>
      </c>
      <c r="AF531" s="284">
        <f t="shared" si="9"/>
        <v>2.0287000000000002</v>
      </c>
      <c r="AG531" s="292"/>
      <c r="AH531" s="292"/>
    </row>
    <row r="532" spans="1:34" s="285" customFormat="1" ht="12.95" customHeight="1" x14ac:dyDescent="0.2">
      <c r="A532" s="1057"/>
      <c r="B532" s="1060"/>
      <c r="C532" s="1060"/>
      <c r="D532" s="1060"/>
      <c r="E532" s="1060"/>
      <c r="F532" s="1060"/>
      <c r="G532" s="1060"/>
      <c r="H532" s="1060"/>
      <c r="I532" s="1060"/>
      <c r="J532" s="1060"/>
      <c r="K532" s="1060"/>
      <c r="L532" s="1060"/>
      <c r="M532" s="1060"/>
      <c r="N532" s="1060"/>
      <c r="O532" s="1060"/>
      <c r="P532" s="1060"/>
      <c r="Q532" s="1060"/>
      <c r="R532" s="1060"/>
      <c r="S532" s="1061"/>
      <c r="T532" s="280">
        <f>ROUND((L532*I528+1.3*L532*K528+S532*H528),4)</f>
        <v>0</v>
      </c>
      <c r="U532" s="280">
        <f>ROUND((M532*0.9*I528+1.3*M532*0.9*K528+S532*H528),4)</f>
        <v>0</v>
      </c>
      <c r="V532" s="280">
        <f>ROUND((M532*I528+1.3*M532*K528+S532*H528),4)</f>
        <v>0</v>
      </c>
      <c r="W532" s="280">
        <f>ROUND((L532*J528+1.3*L532*N528+S532*G528),4)</f>
        <v>0</v>
      </c>
      <c r="X532" s="280">
        <f>ROUND((M532*0.9*J528+1.3*M532*0.9*N528+S532*G528),4)</f>
        <v>0</v>
      </c>
      <c r="Y532" s="280">
        <f>ROUND((M532*J528+1.3*M532*N528+S532*G528),4)</f>
        <v>0</v>
      </c>
      <c r="Z532" s="281">
        <f>ROUND((P528*T532*F528*O528/1000000),4)</f>
        <v>0</v>
      </c>
      <c r="AA532" s="281">
        <f>ROUND((Q528*U532*F528*O528/1000000),4)</f>
        <v>0</v>
      </c>
      <c r="AB532" s="281">
        <f>ROUND((R528*V532*F528*O528/1000000),4)</f>
        <v>0</v>
      </c>
      <c r="AC532" s="282" t="s">
        <v>250</v>
      </c>
      <c r="AD532" s="283" t="s">
        <v>208</v>
      </c>
      <c r="AE532" s="284">
        <f t="shared" si="8"/>
        <v>2.3800000000000002E-2</v>
      </c>
      <c r="AF532" s="284">
        <f t="shared" si="9"/>
        <v>1.3524999999999998</v>
      </c>
      <c r="AG532" s="292"/>
      <c r="AH532" s="292"/>
    </row>
    <row r="533" spans="1:34" s="285" customFormat="1" ht="12.95" customHeight="1" x14ac:dyDescent="0.2">
      <c r="A533" s="1062"/>
      <c r="B533" s="1063"/>
      <c r="C533" s="1063"/>
      <c r="D533" s="1063"/>
      <c r="E533" s="1063"/>
      <c r="F533" s="1063"/>
      <c r="G533" s="1063"/>
      <c r="H533" s="1063"/>
      <c r="I533" s="1063"/>
      <c r="J533" s="1063"/>
      <c r="K533" s="1063"/>
      <c r="L533" s="1063"/>
      <c r="M533" s="1063"/>
      <c r="N533" s="1063"/>
      <c r="O533" s="1063"/>
      <c r="P533" s="1063"/>
      <c r="Q533" s="1063"/>
      <c r="R533" s="1063"/>
      <c r="S533" s="1064"/>
      <c r="T533" s="280">
        <f>ROUND((L533*I528+1.3*L533*K528+S533*H528),4)</f>
        <v>0</v>
      </c>
      <c r="U533" s="280">
        <f>ROUND((M533*0.9*I528+1.3*M533*0.9*K528+S533*H528),4)</f>
        <v>0</v>
      </c>
      <c r="V533" s="280">
        <f>ROUND((M533*I528+1.3*M533*K528+S533*H528),4)</f>
        <v>0</v>
      </c>
      <c r="W533" s="280">
        <f>ROUND((L533*J528+1.3*L533*N528+S533*G528),4)</f>
        <v>0</v>
      </c>
      <c r="X533" s="280">
        <f>ROUND((M533*0.9*J528+1.3*M533*0.9*N528+S533*G528),4)</f>
        <v>0</v>
      </c>
      <c r="Y533" s="280">
        <f>ROUND((M533*J528+1.3*M533*N528+S533*G528),4)</f>
        <v>0</v>
      </c>
      <c r="Z533" s="281">
        <f>ROUND((P528*T533*F528*O528/1000000),4)</f>
        <v>0</v>
      </c>
      <c r="AA533" s="281">
        <f>ROUND((Q528*U533*F528*O528/1000000),4)</f>
        <v>0</v>
      </c>
      <c r="AB533" s="281">
        <f>ROUND((R528*V533*F528*O528/1000000),4)</f>
        <v>0</v>
      </c>
      <c r="AC533" s="282" t="s">
        <v>170</v>
      </c>
      <c r="AD533" s="283" t="s">
        <v>162</v>
      </c>
      <c r="AE533" s="284">
        <f t="shared" si="8"/>
        <v>0.12039999999999999</v>
      </c>
      <c r="AF533" s="284">
        <f t="shared" si="9"/>
        <v>6.3579999999999997</v>
      </c>
      <c r="AG533" s="290">
        <f>SUM(AE528:AE533)</f>
        <v>0.33980000000000005</v>
      </c>
      <c r="AH533" s="290">
        <f>SUM(AF528:AF533)</f>
        <v>20.767500000000002</v>
      </c>
    </row>
    <row r="534" spans="1:34" ht="12.95" customHeight="1" x14ac:dyDescent="0.25">
      <c r="A534" s="1068" t="s">
        <v>109</v>
      </c>
      <c r="B534" s="1069"/>
      <c r="C534" s="1069"/>
      <c r="D534" s="1069"/>
      <c r="E534" s="1069"/>
      <c r="F534" s="1069"/>
      <c r="G534" s="1069"/>
      <c r="H534" s="1069"/>
      <c r="I534" s="1069"/>
      <c r="J534" s="1069"/>
      <c r="K534" s="1069"/>
      <c r="L534" s="1069"/>
      <c r="M534" s="1069"/>
      <c r="N534" s="1069"/>
      <c r="O534" s="1069"/>
      <c r="P534" s="1069"/>
      <c r="Q534" s="1069"/>
      <c r="R534" s="1069"/>
      <c r="S534" s="1069"/>
      <c r="T534" s="1069"/>
      <c r="U534" s="1069"/>
      <c r="V534" s="1069"/>
      <c r="W534" s="1069"/>
      <c r="X534" s="1069"/>
      <c r="Y534" s="1069"/>
      <c r="Z534" s="1069"/>
      <c r="AA534" s="1069"/>
      <c r="AB534" s="1069"/>
      <c r="AC534" s="1069"/>
      <c r="AD534" s="1069"/>
      <c r="AE534" s="1069"/>
      <c r="AF534" s="1070"/>
    </row>
    <row r="535" spans="1:34" ht="12.95" customHeight="1" x14ac:dyDescent="0.25">
      <c r="A535" s="45">
        <v>8030</v>
      </c>
      <c r="B535" s="46" t="s">
        <v>218</v>
      </c>
      <c r="C535" s="45">
        <v>4</v>
      </c>
      <c r="D535" s="45" t="s">
        <v>199</v>
      </c>
      <c r="E535" s="45">
        <v>1</v>
      </c>
      <c r="F535" s="45">
        <v>1</v>
      </c>
      <c r="G535" s="45">
        <v>6</v>
      </c>
      <c r="H535" s="45">
        <v>60</v>
      </c>
      <c r="I535" s="45">
        <f>(8-1-0.75*2)*60*F535-K535-8*0.12*60</f>
        <v>57.900000000000006</v>
      </c>
      <c r="J535" s="45">
        <v>14</v>
      </c>
      <c r="K535" s="45">
        <f>(8-1-0.75*2)*0.65*60*F535</f>
        <v>214.5</v>
      </c>
      <c r="L535" s="45">
        <v>2.4700000000000002</v>
      </c>
      <c r="M535" s="45">
        <v>2.4700000000000002</v>
      </c>
      <c r="N535" s="45">
        <v>10</v>
      </c>
      <c r="O535" s="45">
        <f>E535/F535</f>
        <v>1</v>
      </c>
      <c r="P535" s="45">
        <v>90</v>
      </c>
      <c r="Q535" s="45">
        <v>0</v>
      </c>
      <c r="R535" s="47">
        <v>0</v>
      </c>
      <c r="S535" s="45">
        <v>0.48</v>
      </c>
      <c r="T535" s="48">
        <f>ROUND((L535*I535+1.3*L535*K535+S535*H535),4)</f>
        <v>860.57249999999999</v>
      </c>
      <c r="U535" s="48">
        <f>ROUND((M535*I535+1.3*M535*K535+S535*H535),4)</f>
        <v>860.57249999999999</v>
      </c>
      <c r="V535" s="48">
        <f>ROUND((M535*I535+1.3*M535*K535+S535*H535),4)</f>
        <v>860.57249999999999</v>
      </c>
      <c r="W535" s="48">
        <f>ROUND((L535*J535+1.3*L535*N535+S535*G535),4)</f>
        <v>69.569999999999993</v>
      </c>
      <c r="X535" s="48">
        <f>ROUND((M535*J535+1.3*M535*N535+S535*G535),4)</f>
        <v>69.569999999999993</v>
      </c>
      <c r="Y535" s="48">
        <f>ROUND((M535*J535+1.3*M535*N535+S535*G535),4)</f>
        <v>69.569999999999993</v>
      </c>
      <c r="Z535" s="49">
        <f>ROUND((P535*T535*F535*O535/1000000),4)</f>
        <v>7.7499999999999999E-2</v>
      </c>
      <c r="AA535" s="49">
        <f>ROUND((Q535*U535*F535*O535/1000000),4)</f>
        <v>0</v>
      </c>
      <c r="AB535" s="49">
        <f>ROUND((R535*V535*F535*O535/1000000),4)</f>
        <v>0</v>
      </c>
      <c r="AC535" s="50" t="s">
        <v>200</v>
      </c>
      <c r="AD535" s="51" t="s">
        <v>153</v>
      </c>
      <c r="AE535" s="44">
        <f>ROUND((((X535*E535)/1800)*0.8),4)</f>
        <v>3.09E-2</v>
      </c>
      <c r="AF535" s="44">
        <f>ROUND(((Z535+AA535+AB535)*0.8),4)</f>
        <v>6.2E-2</v>
      </c>
    </row>
    <row r="536" spans="1:34" ht="12.95" customHeight="1" x14ac:dyDescent="0.25">
      <c r="A536" s="63"/>
      <c r="B536" s="53" t="s">
        <v>219</v>
      </c>
      <c r="C536" s="52"/>
      <c r="D536" s="52"/>
      <c r="E536" s="52"/>
      <c r="F536" s="63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68"/>
      <c r="T536" s="54"/>
      <c r="U536" s="54"/>
      <c r="V536" s="54"/>
      <c r="W536" s="54"/>
      <c r="X536" s="54"/>
      <c r="Y536" s="54"/>
      <c r="Z536" s="54"/>
      <c r="AA536" s="54"/>
      <c r="AB536" s="54"/>
      <c r="AC536" s="50" t="s">
        <v>201</v>
      </c>
      <c r="AD536" s="51" t="s">
        <v>202</v>
      </c>
      <c r="AE536" s="44">
        <f>ROUND((((X535*E535)/1800)*0.13),4)</f>
        <v>5.0000000000000001E-3</v>
      </c>
      <c r="AF536" s="44">
        <f>ROUND(((Z535+AA535+AB535)*0.13),4)</f>
        <v>1.01E-2</v>
      </c>
    </row>
    <row r="537" spans="1:34" ht="12.95" customHeight="1" x14ac:dyDescent="0.25">
      <c r="A537" s="63"/>
      <c r="B537" s="53"/>
      <c r="C537" s="55"/>
      <c r="D537" s="55"/>
      <c r="E537" s="52"/>
      <c r="F537" s="63"/>
      <c r="G537" s="52"/>
      <c r="H537" s="52"/>
      <c r="I537" s="52"/>
      <c r="J537" s="52"/>
      <c r="K537" s="52"/>
      <c r="L537" s="52">
        <v>0.19</v>
      </c>
      <c r="M537" s="52">
        <v>0.23</v>
      </c>
      <c r="N537" s="52"/>
      <c r="O537" s="52"/>
      <c r="P537" s="52"/>
      <c r="Q537" s="52"/>
      <c r="R537" s="52"/>
      <c r="S537" s="69">
        <v>9.7000000000000003E-2</v>
      </c>
      <c r="T537" s="48">
        <f>ROUND((L537*I535+1.3*L537*K535+S537*H535),4)</f>
        <v>69.802499999999995</v>
      </c>
      <c r="U537" s="48">
        <f>ROUND((M537*0.9*I535+1.3*M537*0.9*K535+S537*H535),4)</f>
        <v>75.527299999999997</v>
      </c>
      <c r="V537" s="48">
        <f>ROUND((M537*I535+1.3*M537*K535+S537*H535),4)</f>
        <v>83.272499999999994</v>
      </c>
      <c r="W537" s="48">
        <f>ROUND((L537*J535+1.3*L537*N535+S537*G535),4)</f>
        <v>5.7119999999999997</v>
      </c>
      <c r="X537" s="48">
        <f>ROUND((M537*0.9*J535+1.3*M537*0.9*N535+S537*G535),4)</f>
        <v>6.1710000000000003</v>
      </c>
      <c r="Y537" s="48">
        <f>ROUND((M537*J535+1.3*M537*N535+S537*G535),4)</f>
        <v>6.7919999999999998</v>
      </c>
      <c r="Z537" s="49">
        <f>ROUND((P535*T537*F535*O535/1000000),4)</f>
        <v>6.3E-3</v>
      </c>
      <c r="AA537" s="49">
        <f>ROUND((Q535*U537*F535*O535/1000000),4)</f>
        <v>0</v>
      </c>
      <c r="AB537" s="49">
        <f>ROUND((R535*V537*F535*O535/1000000),4)</f>
        <v>0</v>
      </c>
      <c r="AC537" s="50" t="s">
        <v>203</v>
      </c>
      <c r="AD537" s="51" t="s">
        <v>204</v>
      </c>
      <c r="AE537" s="44">
        <f>ROUND((((X537*E535)/1800)),4)</f>
        <v>3.3999999999999998E-3</v>
      </c>
      <c r="AF537" s="44">
        <f>ROUND(((Z537+AA537+AB537)),5)</f>
        <v>6.3E-3</v>
      </c>
    </row>
    <row r="538" spans="1:34" ht="12.95" customHeight="1" x14ac:dyDescent="0.25">
      <c r="A538" s="63"/>
      <c r="B538" s="98"/>
      <c r="C538" s="52"/>
      <c r="D538" s="52"/>
      <c r="E538" s="52"/>
      <c r="F538" s="63"/>
      <c r="G538" s="52"/>
      <c r="H538" s="52"/>
      <c r="I538" s="52"/>
      <c r="J538" s="52"/>
      <c r="K538" s="52"/>
      <c r="L538" s="52">
        <v>0.43</v>
      </c>
      <c r="M538" s="52">
        <v>0.51</v>
      </c>
      <c r="N538" s="52"/>
      <c r="O538" s="52"/>
      <c r="P538" s="52"/>
      <c r="Q538" s="52"/>
      <c r="R538" s="52"/>
      <c r="S538" s="69">
        <v>0.3</v>
      </c>
      <c r="T538" s="48">
        <f>ROUND((L538*I535+1.3*L538*K535+S538*H535),4)</f>
        <v>162.80250000000001</v>
      </c>
      <c r="U538" s="48">
        <f>ROUND((M538*0.9*I535+1.3*M538*0.9*K535+S538*H535),4)</f>
        <v>172.56829999999999</v>
      </c>
      <c r="V538" s="48">
        <f>ROUND((M538*I535+1.3*M538*K535+S538*H535),4)</f>
        <v>189.74250000000001</v>
      </c>
      <c r="W538" s="48">
        <f>ROUND((L538*J535+1.3*L538*N535+S538*G535),4)</f>
        <v>13.41</v>
      </c>
      <c r="X538" s="48">
        <f>ROUND((M538*0.9*J535+1.3*M538*0.9*N535+S538*G535),4)</f>
        <v>14.193</v>
      </c>
      <c r="Y538" s="48">
        <f>ROUND((M538*J535+1.3*N535+S538*G535),4)</f>
        <v>21.94</v>
      </c>
      <c r="Z538" s="49">
        <f>ROUND((P535*T538*F535*O535/1000000),4)</f>
        <v>1.47E-2</v>
      </c>
      <c r="AA538" s="49">
        <f>ROUND((Q535*U538*F535*O535/1000000),4)</f>
        <v>0</v>
      </c>
      <c r="AB538" s="49">
        <f>ROUND((R535*V538*F535*O535/1000000),4)</f>
        <v>0</v>
      </c>
      <c r="AC538" s="50" t="s">
        <v>205</v>
      </c>
      <c r="AD538" s="51" t="s">
        <v>206</v>
      </c>
      <c r="AE538" s="44">
        <f>ROUND((((X538*E535)/1800)),4)</f>
        <v>7.9000000000000008E-3</v>
      </c>
      <c r="AF538" s="44">
        <f>ROUND(((Z538+AA538+AB538)),4)</f>
        <v>1.47E-2</v>
      </c>
    </row>
    <row r="539" spans="1:34" ht="12.95" customHeight="1" x14ac:dyDescent="0.25">
      <c r="A539" s="63"/>
      <c r="B539" s="53"/>
      <c r="C539" s="52"/>
      <c r="D539" s="52"/>
      <c r="E539" s="52"/>
      <c r="F539" s="63"/>
      <c r="G539" s="52"/>
      <c r="H539" s="52"/>
      <c r="I539" s="52"/>
      <c r="J539" s="52"/>
      <c r="K539" s="52"/>
      <c r="L539" s="52">
        <v>0.27</v>
      </c>
      <c r="M539" s="52">
        <v>0.41</v>
      </c>
      <c r="N539" s="52"/>
      <c r="O539" s="52"/>
      <c r="P539" s="52"/>
      <c r="Q539" s="52"/>
      <c r="R539" s="52"/>
      <c r="S539" s="69">
        <v>0.06</v>
      </c>
      <c r="T539" s="48">
        <f>ROUND((L539*I535+1.3*L539*K535+S539*H535),4)</f>
        <v>94.522499999999994</v>
      </c>
      <c r="U539" s="48">
        <f>ROUND((M539*0.9*I535+1.3*M539*0.9*K535+S539*H535),4)</f>
        <v>127.8608</v>
      </c>
      <c r="V539" s="48">
        <f>ROUND((M539*I535+1.3*M539*K535+S539*H535),4)</f>
        <v>141.66749999999999</v>
      </c>
      <c r="W539" s="48">
        <f>ROUND((L539*J535+1.3*L539*N535+S539*G535),4)</f>
        <v>7.65</v>
      </c>
      <c r="X539" s="48">
        <f>ROUND((M539*0.9*J535+1.3*M539*0.9*N535+S539*G535),4)</f>
        <v>10.323</v>
      </c>
      <c r="Y539" s="48">
        <f>ROUND((M539*J535+1.3*M539*N535+S539*G535),4)</f>
        <v>11.43</v>
      </c>
      <c r="Z539" s="49">
        <f>ROUND((P535*T539*F535*O535/1000000),4)</f>
        <v>8.5000000000000006E-3</v>
      </c>
      <c r="AA539" s="49">
        <f>ROUND((Q535*U539*F535*O535/1000000),4)</f>
        <v>0</v>
      </c>
      <c r="AB539" s="49">
        <f>ROUND((R535*V539*F535*O535/1000000),4)</f>
        <v>0</v>
      </c>
      <c r="AC539" s="50" t="s">
        <v>250</v>
      </c>
      <c r="AD539" s="51" t="s">
        <v>208</v>
      </c>
      <c r="AE539" s="44">
        <f>ROUND((((X539*E535)/1800)),4)</f>
        <v>5.7000000000000002E-3</v>
      </c>
      <c r="AF539" s="44">
        <f>ROUND(((Z539+AA539+AB539)),4)</f>
        <v>8.5000000000000006E-3</v>
      </c>
    </row>
    <row r="540" spans="1:34" ht="12.95" customHeight="1" x14ac:dyDescent="0.25">
      <c r="A540" s="63"/>
      <c r="B540" s="53"/>
      <c r="C540" s="56"/>
      <c r="D540" s="56"/>
      <c r="E540" s="56"/>
      <c r="F540" s="66"/>
      <c r="G540" s="56"/>
      <c r="H540" s="56"/>
      <c r="I540" s="56"/>
      <c r="J540" s="56"/>
      <c r="K540" s="56"/>
      <c r="L540" s="56">
        <v>1.29</v>
      </c>
      <c r="M540" s="56">
        <v>1.57</v>
      </c>
      <c r="N540" s="56"/>
      <c r="O540" s="56"/>
      <c r="P540" s="56"/>
      <c r="Q540" s="56"/>
      <c r="R540" s="56"/>
      <c r="S540" s="69">
        <v>2.4</v>
      </c>
      <c r="T540" s="70">
        <f>ROUND((L540*I535+1.3*L540*K535+S540*H535),4)</f>
        <v>578.40750000000003</v>
      </c>
      <c r="U540" s="70">
        <f>ROUND((M540*0.9*I535+1.3*M540*0.9*K535+S540*H535),4)</f>
        <v>619.82780000000002</v>
      </c>
      <c r="V540" s="70">
        <f>ROUND((M540*I535+1.3*M540*K535+S540*H535),4)</f>
        <v>672.69749999999999</v>
      </c>
      <c r="W540" s="70">
        <f>ROUND((L540*J535+1.3*L540*N535+S540*G535),4)</f>
        <v>49.23</v>
      </c>
      <c r="X540" s="70">
        <f>ROUND((M540*0.9*J535+1.3*M540*0.9*N535+S540*G535),4)</f>
        <v>52.551000000000002</v>
      </c>
      <c r="Y540" s="70">
        <f>ROUND((M540*J535+1.3*M540*N535+S540*G535),4)</f>
        <v>56.79</v>
      </c>
      <c r="Z540" s="71">
        <f>ROUND((P535*T540*F535*O535/1000000),4)</f>
        <v>5.21E-2</v>
      </c>
      <c r="AA540" s="71">
        <f>ROUND((Q535*U540*F535*O535/1000000),4)</f>
        <v>0</v>
      </c>
      <c r="AB540" s="71">
        <f>ROUND((R535*V540*F535*O535/1000000),4)</f>
        <v>0</v>
      </c>
      <c r="AC540" s="50" t="s">
        <v>170</v>
      </c>
      <c r="AD540" s="51" t="s">
        <v>162</v>
      </c>
      <c r="AE540" s="44">
        <f>ROUND((((X540*E535)/1800)),4)</f>
        <v>2.92E-2</v>
      </c>
      <c r="AF540" s="44">
        <f>ROUND(((Z540+AA540+AB540)),4)</f>
        <v>5.21E-2</v>
      </c>
    </row>
    <row r="541" spans="1:34" ht="12.95" customHeight="1" x14ac:dyDescent="0.25">
      <c r="A541" s="63"/>
      <c r="B541" s="46" t="s">
        <v>211</v>
      </c>
      <c r="C541" s="46">
        <v>5</v>
      </c>
      <c r="D541" s="45" t="s">
        <v>209</v>
      </c>
      <c r="E541" s="45">
        <v>1</v>
      </c>
      <c r="F541" s="45">
        <v>1</v>
      </c>
      <c r="G541" s="45">
        <v>6</v>
      </c>
      <c r="H541" s="45">
        <v>60</v>
      </c>
      <c r="I541" s="45">
        <f>(8-1-0.75*2)*60*F541-K541-8*0.12*60</f>
        <v>57.900000000000006</v>
      </c>
      <c r="J541" s="45">
        <v>14</v>
      </c>
      <c r="K541" s="45">
        <f>(8-1-0.75*2)*0.65*60*F541</f>
        <v>214.5</v>
      </c>
      <c r="L541" s="48">
        <v>4.01</v>
      </c>
      <c r="M541" s="48">
        <v>4.01</v>
      </c>
      <c r="N541" s="45">
        <v>10</v>
      </c>
      <c r="O541" s="45">
        <f>E541/F541</f>
        <v>1</v>
      </c>
      <c r="P541" s="45">
        <v>180</v>
      </c>
      <c r="Q541" s="45">
        <v>90</v>
      </c>
      <c r="R541" s="47">
        <v>30</v>
      </c>
      <c r="S541" s="47">
        <v>0.78</v>
      </c>
      <c r="T541" s="48">
        <f>ROUND((L541*I541+1.3*L541*K541+S541*H541),4)</f>
        <v>1397.1675</v>
      </c>
      <c r="U541" s="48">
        <f>ROUND((M541*I541+1.3*M541*K541+S541*H541),4)</f>
        <v>1397.1675</v>
      </c>
      <c r="V541" s="48">
        <f>ROUND((M541*I541+1.3*M541*K541+S541*H541),4)</f>
        <v>1397.1675</v>
      </c>
      <c r="W541" s="48">
        <f>ROUND((L541*J541+1.3*L541*N541+S541*G541),4)</f>
        <v>112.95</v>
      </c>
      <c r="X541" s="48">
        <f>ROUND((M541*J541+1.3*M541*N541+S541*G541),4)</f>
        <v>112.95</v>
      </c>
      <c r="Y541" s="48">
        <f>ROUND((M541*J541+1.3*M541*N541+S541*G541),4)</f>
        <v>112.95</v>
      </c>
      <c r="Z541" s="49">
        <f>ROUND((P541*T541*F541*O541/1000000),4)</f>
        <v>0.2515</v>
      </c>
      <c r="AA541" s="49">
        <f>ROUND((Q541*U541*F541*O541/1000000),4)</f>
        <v>0.12570000000000001</v>
      </c>
      <c r="AB541" s="49">
        <f>ROUND((R541*V541*F541*O541/1000000),4)</f>
        <v>4.19E-2</v>
      </c>
      <c r="AC541" s="50" t="s">
        <v>200</v>
      </c>
      <c r="AD541" s="51" t="s">
        <v>153</v>
      </c>
      <c r="AE541" s="44">
        <f>ROUND((((X541*E541)/1800)*0.8),4)</f>
        <v>5.0200000000000002E-2</v>
      </c>
      <c r="AF541" s="44">
        <f>ROUND(((Z541+AA541+AB541)*0.8),4)</f>
        <v>0.33529999999999999</v>
      </c>
    </row>
    <row r="542" spans="1:34" ht="12.95" customHeight="1" x14ac:dyDescent="0.25">
      <c r="A542" s="63"/>
      <c r="B542" s="73" t="s">
        <v>212</v>
      </c>
      <c r="C542" s="53"/>
      <c r="D542" s="52"/>
      <c r="E542" s="52"/>
      <c r="F542" s="52"/>
      <c r="G542" s="52"/>
      <c r="H542" s="52"/>
      <c r="I542" s="52"/>
      <c r="J542" s="52"/>
      <c r="K542" s="52"/>
      <c r="L542" s="56"/>
      <c r="M542" s="56"/>
      <c r="N542" s="52"/>
      <c r="O542" s="52"/>
      <c r="P542" s="63"/>
      <c r="Q542" s="63"/>
      <c r="R542" s="63"/>
      <c r="S542" s="57"/>
      <c r="T542" s="54"/>
      <c r="U542" s="54"/>
      <c r="V542" s="54"/>
      <c r="W542" s="54"/>
      <c r="X542" s="54"/>
      <c r="Y542" s="54"/>
      <c r="Z542" s="54"/>
      <c r="AA542" s="54"/>
      <c r="AB542" s="54"/>
      <c r="AC542" s="50" t="s">
        <v>201</v>
      </c>
      <c r="AD542" s="51" t="s">
        <v>202</v>
      </c>
      <c r="AE542" s="44">
        <f>ROUND((((X541*E541)/1800)*0.13),4)</f>
        <v>8.2000000000000007E-3</v>
      </c>
      <c r="AF542" s="44">
        <f>ROUND(((Z541+AA541+AB541)*0.13),4)</f>
        <v>5.45E-2</v>
      </c>
    </row>
    <row r="543" spans="1:34" ht="12.95" customHeight="1" x14ac:dyDescent="0.25">
      <c r="A543" s="63"/>
      <c r="B543" s="64"/>
      <c r="C543" s="58"/>
      <c r="D543" s="55"/>
      <c r="E543" s="52"/>
      <c r="F543" s="52"/>
      <c r="G543" s="52"/>
      <c r="H543" s="52"/>
      <c r="I543" s="52"/>
      <c r="J543" s="52"/>
      <c r="K543" s="52"/>
      <c r="L543" s="59">
        <v>0.31</v>
      </c>
      <c r="M543" s="59">
        <v>0.38</v>
      </c>
      <c r="N543" s="52"/>
      <c r="O543" s="52"/>
      <c r="P543" s="63"/>
      <c r="Q543" s="63"/>
      <c r="R543" s="63"/>
      <c r="S543" s="60">
        <v>0.16</v>
      </c>
      <c r="T543" s="48">
        <f>ROUND((L543*I541+1.3*L543*K541+S543*H541),4)</f>
        <v>113.99250000000001</v>
      </c>
      <c r="U543" s="48">
        <f>ROUND((M543*0.9*I541+1.3*M543*0.9*K541+S543*H541),4)</f>
        <v>124.7685</v>
      </c>
      <c r="V543" s="48">
        <f>ROUND((M543*I541+1.3*M543*K541+S543*H541),4)</f>
        <v>137.565</v>
      </c>
      <c r="W543" s="48">
        <f>ROUND((L543*J541+1.3*L543*N541+S543*G541),4)</f>
        <v>9.33</v>
      </c>
      <c r="X543" s="48">
        <f>ROUND((M543*0.9*J541+1.3*M543*0.9*N541+S543*G541),4)</f>
        <v>10.194000000000001</v>
      </c>
      <c r="Y543" s="48">
        <f>ROUND((M543*J541+1.3*M543*N541+S543*G541),4)</f>
        <v>11.22</v>
      </c>
      <c r="Z543" s="49">
        <f>ROUND((P541*T543*F541*O541/1000000),4)</f>
        <v>2.0500000000000001E-2</v>
      </c>
      <c r="AA543" s="49">
        <f>ROUND((Q541*U543*F541*O541/1000000),4)</f>
        <v>1.12E-2</v>
      </c>
      <c r="AB543" s="49">
        <f>ROUND((R541*V543*F541*O541/1000000),4)</f>
        <v>4.1000000000000003E-3</v>
      </c>
      <c r="AC543" s="50" t="s">
        <v>203</v>
      </c>
      <c r="AD543" s="51" t="s">
        <v>204</v>
      </c>
      <c r="AE543" s="44">
        <f>ROUND((((X543*E541)/1800)),4)</f>
        <v>5.7000000000000002E-3</v>
      </c>
      <c r="AF543" s="44">
        <f>ROUND(((Z543+AA543+AB543)),5)</f>
        <v>3.5799999999999998E-2</v>
      </c>
    </row>
    <row r="544" spans="1:34" ht="12.95" customHeight="1" x14ac:dyDescent="0.25">
      <c r="A544" s="63"/>
      <c r="B544" s="64"/>
      <c r="C544" s="53"/>
      <c r="D544" s="52"/>
      <c r="E544" s="52"/>
      <c r="F544" s="52"/>
      <c r="G544" s="52"/>
      <c r="H544" s="52"/>
      <c r="I544" s="52"/>
      <c r="J544" s="52"/>
      <c r="K544" s="52"/>
      <c r="L544" s="59">
        <v>0.71</v>
      </c>
      <c r="M544" s="59">
        <v>0.85</v>
      </c>
      <c r="N544" s="52"/>
      <c r="O544" s="52"/>
      <c r="P544" s="63"/>
      <c r="Q544" s="63"/>
      <c r="R544" s="63"/>
      <c r="S544" s="61">
        <v>0.49</v>
      </c>
      <c r="T544" s="48">
        <f>ROUND((L544*I541+1.3*L544*K541+S544*H541),4)</f>
        <v>268.49250000000001</v>
      </c>
      <c r="U544" s="48">
        <f>ROUND((M544*0.9*I541+1.3*M544*0.9*K541+S544*H541),4)</f>
        <v>287.0138</v>
      </c>
      <c r="V544" s="48">
        <f>ROUND((M544*I541+1.3*M544*K541+S544*H541),4)</f>
        <v>315.63749999999999</v>
      </c>
      <c r="W544" s="48">
        <f>ROUND((L544*J541+1.3*L544*N541+S544*G541),4)</f>
        <v>22.11</v>
      </c>
      <c r="X544" s="48">
        <f>ROUND((M544*0.9*J541+1.3*M544*0.9*N541+S544*G541),4)</f>
        <v>23.594999999999999</v>
      </c>
      <c r="Y544" s="48">
        <f>ROUND((M544*J541+1.3*N541+S544*G541),4)</f>
        <v>27.84</v>
      </c>
      <c r="Z544" s="49">
        <f>ROUND((P541*T544*F541*O541/1000000),4)</f>
        <v>4.8300000000000003E-2</v>
      </c>
      <c r="AA544" s="49">
        <f>ROUND((Q541*U544*F541*O541/1000000),4)</f>
        <v>2.58E-2</v>
      </c>
      <c r="AB544" s="49">
        <f>ROUND((R541*V544*F541*O541/1000000),4)</f>
        <v>9.4999999999999998E-3</v>
      </c>
      <c r="AC544" s="50" t="s">
        <v>205</v>
      </c>
      <c r="AD544" s="51" t="s">
        <v>206</v>
      </c>
      <c r="AE544" s="44">
        <f>ROUND((((X544*E541)/1800)),4)</f>
        <v>1.3100000000000001E-2</v>
      </c>
      <c r="AF544" s="44">
        <f>ROUND(((Z544+AA544+AB544)),4)</f>
        <v>8.3599999999999994E-2</v>
      </c>
    </row>
    <row r="545" spans="1:32" ht="12.95" customHeight="1" x14ac:dyDescent="0.25">
      <c r="A545" s="63"/>
      <c r="B545" s="64"/>
      <c r="C545" s="53"/>
      <c r="D545" s="52"/>
      <c r="E545" s="52"/>
      <c r="F545" s="52"/>
      <c r="G545" s="52"/>
      <c r="H545" s="52"/>
      <c r="I545" s="52"/>
      <c r="J545" s="52"/>
      <c r="K545" s="52"/>
      <c r="L545" s="59">
        <v>0.45</v>
      </c>
      <c r="M545" s="59">
        <v>0.67</v>
      </c>
      <c r="N545" s="52"/>
      <c r="O545" s="52"/>
      <c r="P545" s="63"/>
      <c r="Q545" s="63"/>
      <c r="R545" s="63"/>
      <c r="S545" s="61">
        <v>0.1</v>
      </c>
      <c r="T545" s="48">
        <f>ROUND((L545*I541+1.3*L545*K541+S545*H541),4)</f>
        <v>157.53749999999999</v>
      </c>
      <c r="U545" s="48">
        <f>ROUND((M545*0.9*I541+1.3*M545*0.9*K541+S545*H541),4)</f>
        <v>209.06030000000001</v>
      </c>
      <c r="V545" s="48">
        <f>ROUND((M545*I541+1.3*M545*K541+S545*H541),4)</f>
        <v>231.6225</v>
      </c>
      <c r="W545" s="48">
        <f>ROUND((L545*J541+1.3*L545*N541+S545*G541),4)</f>
        <v>12.75</v>
      </c>
      <c r="X545" s="48">
        <f>ROUND((M545*0.9*J541+1.3*M545*0.9*N541+S545*G541),4)</f>
        <v>16.881</v>
      </c>
      <c r="Y545" s="48">
        <f>ROUND((M545*J541+1.3*M545*N541+S545*G541),4)</f>
        <v>18.690000000000001</v>
      </c>
      <c r="Z545" s="49">
        <f>ROUND((P541*T545*F541*O541/1000000),4)</f>
        <v>2.8400000000000002E-2</v>
      </c>
      <c r="AA545" s="49">
        <f>ROUND((Q541*U545*F541*O541/1000000),4)</f>
        <v>1.8800000000000001E-2</v>
      </c>
      <c r="AB545" s="49">
        <f>ROUND((R541*V545*F541*O541/1000000),4)</f>
        <v>6.8999999999999999E-3</v>
      </c>
      <c r="AC545" s="50" t="s">
        <v>250</v>
      </c>
      <c r="AD545" s="51" t="s">
        <v>208</v>
      </c>
      <c r="AE545" s="44">
        <f>ROUND((((X545*E541)/1800)),4)</f>
        <v>9.4000000000000004E-3</v>
      </c>
      <c r="AF545" s="44">
        <f>ROUND(((Z545+AA545+AB545)),4)</f>
        <v>5.4100000000000002E-2</v>
      </c>
    </row>
    <row r="546" spans="1:32" ht="12.95" customHeight="1" x14ac:dyDescent="0.25">
      <c r="A546" s="63"/>
      <c r="B546" s="72"/>
      <c r="C546" s="62"/>
      <c r="D546" s="56"/>
      <c r="E546" s="56"/>
      <c r="F546" s="56"/>
      <c r="G546" s="56"/>
      <c r="H546" s="56"/>
      <c r="I546" s="56"/>
      <c r="J546" s="56"/>
      <c r="K546" s="56"/>
      <c r="L546" s="59">
        <v>2.09</v>
      </c>
      <c r="M546" s="59">
        <v>2.5499999999999998</v>
      </c>
      <c r="N546" s="56"/>
      <c r="O546" s="56"/>
      <c r="P546" s="66"/>
      <c r="Q546" s="66"/>
      <c r="R546" s="66"/>
      <c r="S546" s="61">
        <v>3.91</v>
      </c>
      <c r="T546" s="48">
        <f>ROUND((L546*I541+1.3*L546*K541+S546*H541),4)</f>
        <v>938.40750000000003</v>
      </c>
      <c r="U546" s="48">
        <f>ROUND((M546*0.9*I541+1.3*M546*0.9*K541+S546*H541),4)</f>
        <v>1007.4413</v>
      </c>
      <c r="V546" s="48">
        <f>ROUND((M546*I541+1.3*M546*K541+S546*H541),4)</f>
        <v>1093.3125</v>
      </c>
      <c r="W546" s="48">
        <f>ROUND((L546*J541+1.3*L546*N541+S546*G541),4)</f>
        <v>79.89</v>
      </c>
      <c r="X546" s="48">
        <f>ROUND((M546*0.9*J541+1.3*M546*0.9*N541+S546*G541),4)</f>
        <v>85.424999999999997</v>
      </c>
      <c r="Y546" s="48">
        <f>ROUND((M546*J541+1.3*M546*N541+S546*G541),4)</f>
        <v>92.31</v>
      </c>
      <c r="Z546" s="49">
        <f>ROUND((P541*T546*F541*O541/1000000),4)</f>
        <v>0.16889999999999999</v>
      </c>
      <c r="AA546" s="49">
        <f>ROUND((Q541*U546*F541*O541/1000000),4)</f>
        <v>9.0700000000000003E-2</v>
      </c>
      <c r="AB546" s="49">
        <f>ROUND((R541*V546*F541*O541/1000000),4)</f>
        <v>3.2800000000000003E-2</v>
      </c>
      <c r="AC546" s="50" t="s">
        <v>170</v>
      </c>
      <c r="AD546" s="51" t="s">
        <v>162</v>
      </c>
      <c r="AE546" s="44">
        <f>ROUND((((X546*E541)/1800)),4)</f>
        <v>4.7500000000000001E-2</v>
      </c>
      <c r="AF546" s="44">
        <f>ROUND(((Z546+AA546+AB546)),4)</f>
        <v>0.29239999999999999</v>
      </c>
    </row>
    <row r="547" spans="1:32" ht="12.95" customHeight="1" x14ac:dyDescent="0.25">
      <c r="A547" s="52"/>
      <c r="B547" s="46" t="s">
        <v>211</v>
      </c>
      <c r="C547" s="46">
        <v>6</v>
      </c>
      <c r="D547" s="45" t="s">
        <v>210</v>
      </c>
      <c r="E547" s="45">
        <v>1</v>
      </c>
      <c r="F547" s="45">
        <v>1</v>
      </c>
      <c r="G547" s="45">
        <v>6</v>
      </c>
      <c r="H547" s="45">
        <v>60</v>
      </c>
      <c r="I547" s="45">
        <f>(8-1-0.75*2)*60*F547-K547-8*0.12*60</f>
        <v>57.900000000000006</v>
      </c>
      <c r="J547" s="45">
        <v>14</v>
      </c>
      <c r="K547" s="45">
        <f>(8-1-0.75*2)*0.65*60*F547</f>
        <v>214.5</v>
      </c>
      <c r="L547" s="48">
        <v>6.47</v>
      </c>
      <c r="M547" s="48">
        <v>6.47</v>
      </c>
      <c r="N547" s="45">
        <v>10</v>
      </c>
      <c r="O547" s="45">
        <f>E547/F547</f>
        <v>1</v>
      </c>
      <c r="P547" s="45">
        <v>180</v>
      </c>
      <c r="Q547" s="45">
        <v>90</v>
      </c>
      <c r="R547" s="47">
        <v>30</v>
      </c>
      <c r="S547" s="47">
        <v>1.27</v>
      </c>
      <c r="T547" s="48">
        <f>ROUND((L547*I547+1.3*L547*K547+S547*H547),4)</f>
        <v>2254.9724999999999</v>
      </c>
      <c r="U547" s="48">
        <f>ROUND((M547*I547+1.3*M547*K547+S547*H547),4)</f>
        <v>2254.9724999999999</v>
      </c>
      <c r="V547" s="48">
        <f>ROUND((M547*I547+1.3*M547*K547+S547*H547),4)</f>
        <v>2254.9724999999999</v>
      </c>
      <c r="W547" s="48">
        <f>ROUND((L547*J547+1.3*L547*N547+S547*G547),4)</f>
        <v>182.31</v>
      </c>
      <c r="X547" s="48">
        <f>ROUND((M547*J547+1.3*M547*N547+S547*G547),4)</f>
        <v>182.31</v>
      </c>
      <c r="Y547" s="48">
        <f>ROUND((M547*J547+1.3*M547*N547+S547*G547),4)</f>
        <v>182.31</v>
      </c>
      <c r="Z547" s="49">
        <f>ROUND((P547*T547*F547*O547/1000000),4)</f>
        <v>0.40589999999999998</v>
      </c>
      <c r="AA547" s="49">
        <f>ROUND((Q547*U547*F547*O547/1000000),4)</f>
        <v>0.2029</v>
      </c>
      <c r="AB547" s="49">
        <f>ROUND((R547*V547*F547*O547/1000000),4)</f>
        <v>6.7599999999999993E-2</v>
      </c>
      <c r="AC547" s="50" t="s">
        <v>200</v>
      </c>
      <c r="AD547" s="51" t="s">
        <v>153</v>
      </c>
      <c r="AE547" s="44">
        <f>ROUND((((X547*E547)/1800)*0.8),4)</f>
        <v>8.1000000000000003E-2</v>
      </c>
      <c r="AF547" s="44">
        <f>ROUND(((Z547+AA547+AB547)*0.8),4)</f>
        <v>0.54110000000000003</v>
      </c>
    </row>
    <row r="548" spans="1:32" ht="12.95" customHeight="1" x14ac:dyDescent="0.25">
      <c r="A548" s="52"/>
      <c r="B548" s="53" t="s">
        <v>213</v>
      </c>
      <c r="C548" s="52"/>
      <c r="D548" s="52"/>
      <c r="E548" s="63"/>
      <c r="F548" s="52"/>
      <c r="G548" s="52"/>
      <c r="H548" s="52"/>
      <c r="I548" s="52"/>
      <c r="J548" s="52"/>
      <c r="K548" s="52"/>
      <c r="L548" s="56"/>
      <c r="M548" s="56"/>
      <c r="N548" s="52"/>
      <c r="O548" s="52"/>
      <c r="P548" s="63"/>
      <c r="Q548" s="63"/>
      <c r="R548" s="63"/>
      <c r="S548" s="57"/>
      <c r="T548" s="54"/>
      <c r="U548" s="54"/>
      <c r="V548" s="54"/>
      <c r="W548" s="54"/>
      <c r="X548" s="54"/>
      <c r="Y548" s="54"/>
      <c r="Z548" s="54"/>
      <c r="AA548" s="54"/>
      <c r="AB548" s="54"/>
      <c r="AC548" s="50" t="s">
        <v>201</v>
      </c>
      <c r="AD548" s="51" t="s">
        <v>202</v>
      </c>
      <c r="AE548" s="44">
        <f>ROUND((((X547*E547)/1800)*0.13),4)</f>
        <v>1.32E-2</v>
      </c>
      <c r="AF548" s="44">
        <f>ROUND(((Z547+AA547+AB547)*0.13),4)</f>
        <v>8.7900000000000006E-2</v>
      </c>
    </row>
    <row r="549" spans="1:32" ht="12.95" customHeight="1" x14ac:dyDescent="0.25">
      <c r="A549" s="52"/>
      <c r="B549" s="98"/>
      <c r="C549" s="55"/>
      <c r="D549" s="55"/>
      <c r="E549" s="63"/>
      <c r="F549" s="52"/>
      <c r="G549" s="52"/>
      <c r="H549" s="52"/>
      <c r="I549" s="52"/>
      <c r="J549" s="52"/>
      <c r="K549" s="52"/>
      <c r="L549" s="59">
        <v>0.51</v>
      </c>
      <c r="M549" s="59">
        <v>0.63</v>
      </c>
      <c r="N549" s="52"/>
      <c r="O549" s="52"/>
      <c r="P549" s="63"/>
      <c r="Q549" s="63"/>
      <c r="R549" s="63"/>
      <c r="S549" s="60">
        <v>0.25</v>
      </c>
      <c r="T549" s="48">
        <f>ROUND((L549*I547+1.3*L549*K547+S549*H547),4)</f>
        <v>186.74250000000001</v>
      </c>
      <c r="U549" s="48">
        <f>ROUND((M549*0.9*I547+1.3*M549*0.9*K547+S549*H547),4)</f>
        <v>205.93729999999999</v>
      </c>
      <c r="V549" s="48">
        <f>ROUND((M549*I547+1.3*M549*K547+S549*H547),4)</f>
        <v>227.1525</v>
      </c>
      <c r="W549" s="48">
        <f>ROUND((L549*J547+1.3*L549*N547+S549*G547),4)</f>
        <v>15.27</v>
      </c>
      <c r="X549" s="48">
        <f>ROUND((M549*0.9*J547+1.3*M549*0.9*N547+S549*G547),4)</f>
        <v>16.809000000000001</v>
      </c>
      <c r="Y549" s="48">
        <f>ROUND((M549*J547+1.3*M549*N547+S549*G547),4)</f>
        <v>18.510000000000002</v>
      </c>
      <c r="Z549" s="49">
        <f>ROUND((P547*T549*F547*O547/1000000),4)</f>
        <v>3.3599999999999998E-2</v>
      </c>
      <c r="AA549" s="49">
        <f>ROUND((Q547*U549*F547*O547/1000000),4)</f>
        <v>1.8499999999999999E-2</v>
      </c>
      <c r="AB549" s="49">
        <f>ROUND((R547*V549*F547*O547/1000000),4)</f>
        <v>6.7999999999999996E-3</v>
      </c>
      <c r="AC549" s="50" t="s">
        <v>203</v>
      </c>
      <c r="AD549" s="51" t="s">
        <v>204</v>
      </c>
      <c r="AE549" s="44">
        <f>ROUND((((X549*E547)/1800)),4)</f>
        <v>9.2999999999999992E-3</v>
      </c>
      <c r="AF549" s="44">
        <f>ROUND(((Z549+AA549+AB549)),5)</f>
        <v>5.8900000000000001E-2</v>
      </c>
    </row>
    <row r="550" spans="1:32" ht="12.95" customHeight="1" x14ac:dyDescent="0.25">
      <c r="A550" s="52"/>
      <c r="B550" s="53"/>
      <c r="C550" s="52"/>
      <c r="D550" s="52"/>
      <c r="E550" s="63"/>
      <c r="F550" s="63"/>
      <c r="G550" s="52"/>
      <c r="H550" s="52"/>
      <c r="I550" s="52"/>
      <c r="J550" s="52"/>
      <c r="K550" s="52"/>
      <c r="L550" s="59">
        <v>1.1399999999999999</v>
      </c>
      <c r="M550" s="59">
        <v>1.37</v>
      </c>
      <c r="N550" s="52"/>
      <c r="O550" s="52"/>
      <c r="P550" s="63"/>
      <c r="Q550" s="63"/>
      <c r="R550" s="63"/>
      <c r="S550" s="61">
        <v>0.79</v>
      </c>
      <c r="T550" s="48">
        <f>ROUND((L550*I547+1.3*L550*K547+S550*H547),4)</f>
        <v>431.29500000000002</v>
      </c>
      <c r="U550" s="48">
        <f>ROUND((M550*0.9*I547+1.3*M550*0.9*K547+S550*H547),4)</f>
        <v>462.61279999999999</v>
      </c>
      <c r="V550" s="48">
        <f>ROUND((M550*I547+1.3*M550*K547+S550*H547),4)</f>
        <v>508.7475</v>
      </c>
      <c r="W550" s="48">
        <f>ROUND((L550*J547+1.3*L550*N547+S550*G547),4)</f>
        <v>35.520000000000003</v>
      </c>
      <c r="X550" s="48">
        <f>ROUND((M550*0.9*J547+1.3*M550*0.9*N547+S550*G547),4)</f>
        <v>38.030999999999999</v>
      </c>
      <c r="Y550" s="48">
        <f>ROUND((M550*J547+1.3*N547+S550*G547),4)</f>
        <v>36.92</v>
      </c>
      <c r="Z550" s="49">
        <f>ROUND((P547*T550*F547*O547/1000000),4)</f>
        <v>7.7600000000000002E-2</v>
      </c>
      <c r="AA550" s="49">
        <f>ROUND((Q547*U550*F547*O547/1000000),4)</f>
        <v>4.1599999999999998E-2</v>
      </c>
      <c r="AB550" s="49">
        <f>ROUND((R547*V550*F547*O547/1000000),4)</f>
        <v>1.5299999999999999E-2</v>
      </c>
      <c r="AC550" s="50" t="s">
        <v>205</v>
      </c>
      <c r="AD550" s="51" t="s">
        <v>206</v>
      </c>
      <c r="AE550" s="44">
        <f>ROUND((((X550*E547)/1800)),4)</f>
        <v>2.1100000000000001E-2</v>
      </c>
      <c r="AF550" s="44">
        <f>ROUND(((Z550+AA550+AB550)),4)</f>
        <v>0.13450000000000001</v>
      </c>
    </row>
    <row r="551" spans="1:32" ht="12.95" customHeight="1" x14ac:dyDescent="0.25">
      <c r="A551" s="52"/>
      <c r="B551" s="53"/>
      <c r="C551" s="52"/>
      <c r="D551" s="52"/>
      <c r="E551" s="63"/>
      <c r="F551" s="63"/>
      <c r="G551" s="52"/>
      <c r="H551" s="52"/>
      <c r="I551" s="52"/>
      <c r="J551" s="52"/>
      <c r="K551" s="52"/>
      <c r="L551" s="59">
        <v>0.72</v>
      </c>
      <c r="M551" s="59">
        <v>1.08</v>
      </c>
      <c r="N551" s="52"/>
      <c r="O551" s="52"/>
      <c r="P551" s="63"/>
      <c r="Q551" s="63"/>
      <c r="R551" s="63"/>
      <c r="S551" s="61">
        <v>0.17</v>
      </c>
      <c r="T551" s="48">
        <f>ROUND((L551*I547+1.3*L551*K547+S551*H547),4)</f>
        <v>252.66</v>
      </c>
      <c r="U551" s="48">
        <f>ROUND((M551*0.9*I547+1.3*M551*0.9*K547+S551*H547),4)</f>
        <v>337.52100000000002</v>
      </c>
      <c r="V551" s="48">
        <f>ROUND((M551*I547+1.3*M551*K547+S551*H547),4)</f>
        <v>373.89</v>
      </c>
      <c r="W551" s="48">
        <f>ROUND((L551*J547+1.3*L551*N547+S551*G547),4)</f>
        <v>20.46</v>
      </c>
      <c r="X551" s="48">
        <f>ROUND((M551*0.9*J547+1.3*M551*0.9*N547+S551*G547),4)</f>
        <v>27.263999999999999</v>
      </c>
      <c r="Y551" s="48">
        <f>ROUND((M551*J547+1.3*M551*N547+S551*G547),4)</f>
        <v>30.18</v>
      </c>
      <c r="Z551" s="49">
        <f>ROUND((P547*T551*F547*O547/1000000),4)</f>
        <v>4.5499999999999999E-2</v>
      </c>
      <c r="AA551" s="49">
        <f>ROUND((Q547*U551*F547*O547/1000000),4)</f>
        <v>3.04E-2</v>
      </c>
      <c r="AB551" s="49">
        <f>ROUND((R547*V551*F547*O547/1000000),4)</f>
        <v>1.12E-2</v>
      </c>
      <c r="AC551" s="50" t="s">
        <v>250</v>
      </c>
      <c r="AD551" s="51" t="s">
        <v>208</v>
      </c>
      <c r="AE551" s="44">
        <f>ROUND((((X551*E547)/1800)),4)</f>
        <v>1.5100000000000001E-2</v>
      </c>
      <c r="AF551" s="44">
        <f>ROUND(((Z551+AA551+AB551)),4)</f>
        <v>8.7099999999999997E-2</v>
      </c>
    </row>
    <row r="552" spans="1:32" ht="12.95" customHeight="1" x14ac:dyDescent="0.25">
      <c r="A552" s="52"/>
      <c r="B552" s="62"/>
      <c r="C552" s="56"/>
      <c r="D552" s="56"/>
      <c r="E552" s="66"/>
      <c r="F552" s="66"/>
      <c r="G552" s="56"/>
      <c r="H552" s="56"/>
      <c r="I552" s="56"/>
      <c r="J552" s="56"/>
      <c r="K552" s="56"/>
      <c r="L552" s="59">
        <v>3.37</v>
      </c>
      <c r="M552" s="59">
        <v>4.1100000000000003</v>
      </c>
      <c r="N552" s="56"/>
      <c r="O552" s="56"/>
      <c r="P552" s="66"/>
      <c r="Q552" s="66"/>
      <c r="R552" s="66"/>
      <c r="S552" s="61">
        <v>6.31</v>
      </c>
      <c r="T552" s="48">
        <f>ROUND((L552*I547+1.3*L552*K547+S552*H547),4)</f>
        <v>1513.4475</v>
      </c>
      <c r="U552" s="48">
        <f>ROUND((M552*0.9*I547+1.3*M552*0.9*K547+S552*H547),4)</f>
        <v>1624.2383</v>
      </c>
      <c r="V552" s="48">
        <f>ROUND((M552*I547+1.3*M552*K547+S552*H547),4)</f>
        <v>1762.6424999999999</v>
      </c>
      <c r="W552" s="48">
        <f>ROUND((L552*J547+1.3*L552*N547+S552*G547),4)</f>
        <v>128.85</v>
      </c>
      <c r="X552" s="48">
        <f>ROUND((M552*0.9*J547+1.3*M552*0.9*N547+S552*G547),4)</f>
        <v>137.733</v>
      </c>
      <c r="Y552" s="48">
        <f>ROUND((M552*J547+1.3*M552*N547+S552*G547),4)</f>
        <v>148.83000000000001</v>
      </c>
      <c r="Z552" s="49">
        <f>ROUND((P547*T552*F547*O547/1000000),4)</f>
        <v>0.27239999999999998</v>
      </c>
      <c r="AA552" s="49">
        <f>ROUND((Q547*U552*F547*O547/1000000),4)</f>
        <v>0.1462</v>
      </c>
      <c r="AB552" s="49">
        <f>ROUND((R547*V552*F547*O547/1000000),4)</f>
        <v>5.2900000000000003E-2</v>
      </c>
      <c r="AC552" s="50" t="s">
        <v>170</v>
      </c>
      <c r="AD552" s="51" t="s">
        <v>162</v>
      </c>
      <c r="AE552" s="44">
        <f>ROUND((((X552*E547)/1800)),4)</f>
        <v>7.6499999999999999E-2</v>
      </c>
      <c r="AF552" s="44">
        <f>ROUND(((Z552+AA552+AB552)),4)</f>
        <v>0.47149999999999997</v>
      </c>
    </row>
    <row r="553" spans="1:32" ht="12.95" customHeight="1" x14ac:dyDescent="0.25">
      <c r="A553" s="52"/>
      <c r="B553" s="67" t="s">
        <v>214</v>
      </c>
      <c r="C553" s="46">
        <v>6</v>
      </c>
      <c r="D553" s="45" t="s">
        <v>210</v>
      </c>
      <c r="E553" s="45">
        <v>1</v>
      </c>
      <c r="F553" s="45">
        <v>1</v>
      </c>
      <c r="G553" s="45">
        <v>6</v>
      </c>
      <c r="H553" s="45">
        <v>60</v>
      </c>
      <c r="I553" s="45">
        <f>(8-1-0.75*2)*60*F553-K553-8*0.12*60</f>
        <v>57.900000000000006</v>
      </c>
      <c r="J553" s="45">
        <v>14</v>
      </c>
      <c r="K553" s="45">
        <f>(8-1-0.75*2)*0.65*60*F553</f>
        <v>214.5</v>
      </c>
      <c r="L553" s="48">
        <v>6.47</v>
      </c>
      <c r="M553" s="48">
        <v>6.47</v>
      </c>
      <c r="N553" s="45">
        <v>10</v>
      </c>
      <c r="O553" s="45">
        <f>E553/F553</f>
        <v>1</v>
      </c>
      <c r="P553" s="45">
        <v>180</v>
      </c>
      <c r="Q553" s="45">
        <v>30</v>
      </c>
      <c r="R553" s="47">
        <v>0</v>
      </c>
      <c r="S553" s="47">
        <v>1.27</v>
      </c>
      <c r="T553" s="48">
        <f>ROUND((L553*I553+1.3*L553*K553+S553*H553),4)</f>
        <v>2254.9724999999999</v>
      </c>
      <c r="U553" s="48">
        <f>ROUND((M553*I553+1.3*M553*K553+S553*H553),4)</f>
        <v>2254.9724999999999</v>
      </c>
      <c r="V553" s="48">
        <f>ROUND((M553*I553+1.3*M553*K553+S553*H553),4)</f>
        <v>2254.9724999999999</v>
      </c>
      <c r="W553" s="48">
        <f>ROUND((L553*J553+1.3*L553*N553+S553*G553),4)</f>
        <v>182.31</v>
      </c>
      <c r="X553" s="48">
        <f>ROUND((M553*J553+1.3*M553*N553+S553*G553),4)</f>
        <v>182.31</v>
      </c>
      <c r="Y553" s="48">
        <f>ROUND((M553*J553+1.3*M553*N553+S553*G553),4)</f>
        <v>182.31</v>
      </c>
      <c r="Z553" s="49">
        <f>ROUND((P553*T553*F553*O553/1000000),4)</f>
        <v>0.40589999999999998</v>
      </c>
      <c r="AA553" s="49">
        <f>ROUND((Q553*U553*F553*O553/1000000),4)</f>
        <v>6.7599999999999993E-2</v>
      </c>
      <c r="AB553" s="49">
        <f>ROUND((R553*V553*F553*O553/1000000),4)</f>
        <v>0</v>
      </c>
      <c r="AC553" s="50" t="s">
        <v>200</v>
      </c>
      <c r="AD553" s="51" t="s">
        <v>153</v>
      </c>
      <c r="AE553" s="44">
        <f>ROUND((((X553*E553)/1800)*0.8),4)</f>
        <v>8.1000000000000003E-2</v>
      </c>
      <c r="AF553" s="44">
        <f>ROUND(((Z553+AA553+AB553)*0.8),4)</f>
        <v>0.37880000000000003</v>
      </c>
    </row>
    <row r="554" spans="1:32" ht="12.95" customHeight="1" x14ac:dyDescent="0.25">
      <c r="A554" s="52"/>
      <c r="B554" s="53" t="s">
        <v>215</v>
      </c>
      <c r="C554" s="52"/>
      <c r="D554" s="52"/>
      <c r="E554" s="52"/>
      <c r="F554" s="52"/>
      <c r="G554" s="52"/>
      <c r="H554" s="52"/>
      <c r="I554" s="52"/>
      <c r="J554" s="52"/>
      <c r="K554" s="52"/>
      <c r="L554" s="56"/>
      <c r="M554" s="56"/>
      <c r="N554" s="52"/>
      <c r="O554" s="52"/>
      <c r="P554" s="63"/>
      <c r="Q554" s="63"/>
      <c r="R554" s="52"/>
      <c r="S554" s="57"/>
      <c r="T554" s="54"/>
      <c r="U554" s="54"/>
      <c r="V554" s="54"/>
      <c r="W554" s="54"/>
      <c r="X554" s="54"/>
      <c r="Y554" s="54"/>
      <c r="Z554" s="54"/>
      <c r="AA554" s="54"/>
      <c r="AB554" s="54"/>
      <c r="AC554" s="50" t="s">
        <v>201</v>
      </c>
      <c r="AD554" s="51" t="s">
        <v>202</v>
      </c>
      <c r="AE554" s="44">
        <f>ROUND((((X553*E553)/1800)*0.13),4)</f>
        <v>1.32E-2</v>
      </c>
      <c r="AF554" s="44">
        <f>ROUND(((Z553+AA553+AB553)*0.13),4)</f>
        <v>6.1600000000000002E-2</v>
      </c>
    </row>
    <row r="555" spans="1:32" ht="12.95" customHeight="1" x14ac:dyDescent="0.25">
      <c r="A555" s="52"/>
      <c r="B555" s="88"/>
      <c r="C555" s="55"/>
      <c r="D555" s="55"/>
      <c r="E555" s="52"/>
      <c r="F555" s="52"/>
      <c r="G555" s="52"/>
      <c r="H555" s="52"/>
      <c r="I555" s="52"/>
      <c r="J555" s="52"/>
      <c r="K555" s="52"/>
      <c r="L555" s="59">
        <v>0.51</v>
      </c>
      <c r="M555" s="59">
        <v>0.63</v>
      </c>
      <c r="N555" s="52"/>
      <c r="O555" s="52"/>
      <c r="P555" s="63"/>
      <c r="Q555" s="63"/>
      <c r="R555" s="52"/>
      <c r="S555" s="60">
        <v>0.25</v>
      </c>
      <c r="T555" s="48">
        <f>ROUND((L555*I553+1.3*L555*K553+S555*H553),4)</f>
        <v>186.74250000000001</v>
      </c>
      <c r="U555" s="48">
        <f>ROUND((M555*0.9*I553+1.3*M555*0.9*K553+S555*H553),4)</f>
        <v>205.93729999999999</v>
      </c>
      <c r="V555" s="48">
        <f>ROUND((M555*I553+1.3*M555*K553+S555*H553),4)</f>
        <v>227.1525</v>
      </c>
      <c r="W555" s="48">
        <f>ROUND((L555*J553+1.3*L555*N553+S555*G553),4)</f>
        <v>15.27</v>
      </c>
      <c r="X555" s="48">
        <f>ROUND((M555*0.9*J553+1.3*M555*0.9*N553+S555*G553),4)</f>
        <v>16.809000000000001</v>
      </c>
      <c r="Y555" s="48">
        <f>ROUND((M555*J553+1.3*M555*N553+S555*G553),4)</f>
        <v>18.510000000000002</v>
      </c>
      <c r="Z555" s="49">
        <f>ROUND((P553*T555*F553*O553/1000000),4)</f>
        <v>3.3599999999999998E-2</v>
      </c>
      <c r="AA555" s="49">
        <f>ROUND((Q553*U555*F553*O553/1000000),4)</f>
        <v>6.1999999999999998E-3</v>
      </c>
      <c r="AB555" s="49">
        <f>ROUND((R553*V555*F553*O553/1000000),4)</f>
        <v>0</v>
      </c>
      <c r="AC555" s="50" t="s">
        <v>203</v>
      </c>
      <c r="AD555" s="51" t="s">
        <v>204</v>
      </c>
      <c r="AE555" s="44">
        <f>ROUND((((X555*E553)/1800)),4)</f>
        <v>9.2999999999999992E-3</v>
      </c>
      <c r="AF555" s="44">
        <f>ROUND(((Z555+AA555+AB555)),5)</f>
        <v>3.9800000000000002E-2</v>
      </c>
    </row>
    <row r="556" spans="1:32" ht="12.95" customHeight="1" x14ac:dyDescent="0.25">
      <c r="A556" s="52"/>
      <c r="B556" s="88"/>
      <c r="C556" s="52"/>
      <c r="D556" s="52"/>
      <c r="E556" s="52"/>
      <c r="F556" s="52"/>
      <c r="G556" s="52"/>
      <c r="H556" s="52"/>
      <c r="I556" s="52"/>
      <c r="J556" s="52"/>
      <c r="K556" s="52"/>
      <c r="L556" s="59">
        <v>1.1399999999999999</v>
      </c>
      <c r="M556" s="59">
        <v>1.37</v>
      </c>
      <c r="N556" s="52"/>
      <c r="O556" s="52"/>
      <c r="P556" s="63"/>
      <c r="Q556" s="63"/>
      <c r="R556" s="52"/>
      <c r="S556" s="61">
        <v>0.79</v>
      </c>
      <c r="T556" s="48">
        <f>ROUND((L556*I553+1.3*L556*K553+S556*H553),4)</f>
        <v>431.29500000000002</v>
      </c>
      <c r="U556" s="48">
        <f>ROUND((M556*0.9*I553+1.3*M556*0.9*K553+S556*H553),4)</f>
        <v>462.61279999999999</v>
      </c>
      <c r="V556" s="48">
        <f>ROUND((M556*I553+1.3*M556*K553+S556*H553),4)</f>
        <v>508.7475</v>
      </c>
      <c r="W556" s="48">
        <f>ROUND((L556*J553+1.3*L556*N553+S556*G553),4)</f>
        <v>35.520000000000003</v>
      </c>
      <c r="X556" s="48">
        <f>ROUND((M556*0.9*J553+1.3*M556*0.9*N553+S556*G553),4)</f>
        <v>38.030999999999999</v>
      </c>
      <c r="Y556" s="48">
        <f>ROUND((M556*J553+1.3*N553+S556*G553),4)</f>
        <v>36.92</v>
      </c>
      <c r="Z556" s="49">
        <f>ROUND((P553*T556*F553*O553/1000000),4)</f>
        <v>7.7600000000000002E-2</v>
      </c>
      <c r="AA556" s="49">
        <f>ROUND((Q553*U556*F553*O553/1000000),4)</f>
        <v>1.3899999999999999E-2</v>
      </c>
      <c r="AB556" s="49">
        <f>ROUND((R553*V556*F553*O553/1000000),4)</f>
        <v>0</v>
      </c>
      <c r="AC556" s="50" t="s">
        <v>205</v>
      </c>
      <c r="AD556" s="51" t="s">
        <v>206</v>
      </c>
      <c r="AE556" s="44">
        <f>ROUND((((X556*E553)/1800)),4)</f>
        <v>2.1100000000000001E-2</v>
      </c>
      <c r="AF556" s="44">
        <f>ROUND(((Z556+AA556+AB556)),4)</f>
        <v>9.1499999999999998E-2</v>
      </c>
    </row>
    <row r="557" spans="1:32" ht="12.95" customHeight="1" x14ac:dyDescent="0.25">
      <c r="A557" s="52"/>
      <c r="B557" s="53"/>
      <c r="C557" s="52"/>
      <c r="D557" s="52"/>
      <c r="E557" s="52"/>
      <c r="F557" s="52"/>
      <c r="G557" s="52"/>
      <c r="H557" s="52"/>
      <c r="I557" s="52"/>
      <c r="J557" s="52"/>
      <c r="K557" s="52"/>
      <c r="L557" s="59">
        <v>0.72</v>
      </c>
      <c r="M557" s="59">
        <v>1.08</v>
      </c>
      <c r="N557" s="52"/>
      <c r="O557" s="52"/>
      <c r="P557" s="63"/>
      <c r="Q557" s="63"/>
      <c r="R557" s="52"/>
      <c r="S557" s="61">
        <v>0.17</v>
      </c>
      <c r="T557" s="48">
        <f>ROUND((L557*I553+1.3*L557*K553+S557*H553),4)</f>
        <v>252.66</v>
      </c>
      <c r="U557" s="48">
        <f>ROUND((M557*0.9*I553+1.3*M557*0.9*K553+S557*H553),4)</f>
        <v>337.52100000000002</v>
      </c>
      <c r="V557" s="48">
        <f>ROUND((M557*I553+1.3*M557*K553+S557*H553),4)</f>
        <v>373.89</v>
      </c>
      <c r="W557" s="48">
        <f>ROUND((L557*J553+1.3*L557*N553+S557*G553),4)</f>
        <v>20.46</v>
      </c>
      <c r="X557" s="48">
        <f>ROUND((M557*0.9*J553+1.3*M557*0.9*N553+S557*G553),4)</f>
        <v>27.263999999999999</v>
      </c>
      <c r="Y557" s="48">
        <f>ROUND((M557*J553+1.3*M557*N553+S557*G553),4)</f>
        <v>30.18</v>
      </c>
      <c r="Z557" s="49">
        <f>ROUND((P553*T557*F553*O553/1000000),4)</f>
        <v>4.5499999999999999E-2</v>
      </c>
      <c r="AA557" s="49">
        <f>ROUND((Q553*U557*F553*O553/1000000),4)</f>
        <v>1.01E-2</v>
      </c>
      <c r="AB557" s="49">
        <f>ROUND((R553*V557*F553*O553/1000000),4)</f>
        <v>0</v>
      </c>
      <c r="AC557" s="50" t="s">
        <v>250</v>
      </c>
      <c r="AD557" s="51" t="s">
        <v>208</v>
      </c>
      <c r="AE557" s="44">
        <f>ROUND((((X557*E553)/1800)),4)</f>
        <v>1.5100000000000001E-2</v>
      </c>
      <c r="AF557" s="44">
        <f>ROUND(((Z557+AA557+AB557)),4)</f>
        <v>5.5599999999999997E-2</v>
      </c>
    </row>
    <row r="558" spans="1:32" ht="12.95" customHeight="1" x14ac:dyDescent="0.25">
      <c r="A558" s="52"/>
      <c r="B558" s="62"/>
      <c r="C558" s="56"/>
      <c r="D558" s="56"/>
      <c r="E558" s="56"/>
      <c r="F558" s="56"/>
      <c r="G558" s="56"/>
      <c r="H558" s="56"/>
      <c r="I558" s="56"/>
      <c r="J558" s="56"/>
      <c r="K558" s="56"/>
      <c r="L558" s="59">
        <v>3.37</v>
      </c>
      <c r="M558" s="59">
        <v>4.1100000000000003</v>
      </c>
      <c r="N558" s="56"/>
      <c r="O558" s="56"/>
      <c r="P558" s="66"/>
      <c r="Q558" s="66"/>
      <c r="R558" s="56"/>
      <c r="S558" s="61">
        <v>6.31</v>
      </c>
      <c r="T558" s="48">
        <f>ROUND((L558*I553+1.3*L558*K553+S558*H553),4)</f>
        <v>1513.4475</v>
      </c>
      <c r="U558" s="48">
        <f>ROUND((M558*0.9*I553+1.3*M558*0.9*K553+S558*H553),4)</f>
        <v>1624.2383</v>
      </c>
      <c r="V558" s="48">
        <f>ROUND((M558*I553+1.3*M558*K553+S558*H553),4)</f>
        <v>1762.6424999999999</v>
      </c>
      <c r="W558" s="48">
        <f>ROUND((L558*J553+1.3*L558*N553+S558*G553),4)</f>
        <v>128.85</v>
      </c>
      <c r="X558" s="48">
        <f>ROUND((M558*0.9*J553+1.3*M558*0.9*N553+S558*G553),4)</f>
        <v>137.733</v>
      </c>
      <c r="Y558" s="48">
        <f>ROUND((M558*J553+1.3*M558*N553+S558*G553),4)</f>
        <v>148.83000000000001</v>
      </c>
      <c r="Z558" s="49">
        <f>ROUND((P553*T558*F553*O553/1000000),4)</f>
        <v>0.27239999999999998</v>
      </c>
      <c r="AA558" s="49">
        <f>ROUND((Q553*U558*F553*O553/1000000),4)</f>
        <v>4.87E-2</v>
      </c>
      <c r="AB558" s="49">
        <f>ROUND((R553*V558*F553*O553/1000000),4)</f>
        <v>0</v>
      </c>
      <c r="AC558" s="50" t="s">
        <v>170</v>
      </c>
      <c r="AD558" s="51" t="s">
        <v>162</v>
      </c>
      <c r="AE558" s="44">
        <f>ROUND((((X558*E553)/1800)),4)</f>
        <v>7.6499999999999999E-2</v>
      </c>
      <c r="AF558" s="44">
        <f>ROUND(((Z558+AA558+AB558)),4)</f>
        <v>0.3211</v>
      </c>
    </row>
    <row r="559" spans="1:32" ht="12.95" customHeight="1" x14ac:dyDescent="0.25">
      <c r="A559" s="52"/>
      <c r="B559" s="67" t="s">
        <v>214</v>
      </c>
      <c r="C559" s="46">
        <v>7</v>
      </c>
      <c r="D559" s="45" t="s">
        <v>217</v>
      </c>
      <c r="E559" s="45">
        <v>1</v>
      </c>
      <c r="F559" s="45">
        <v>1</v>
      </c>
      <c r="G559" s="45">
        <v>6</v>
      </c>
      <c r="H559" s="45">
        <v>60</v>
      </c>
      <c r="I559" s="45">
        <f>(8-1-0.75*2)*60*F559-K559-8*0.12*60</f>
        <v>57.900000000000006</v>
      </c>
      <c r="J559" s="45">
        <v>14</v>
      </c>
      <c r="K559" s="45">
        <f>(8-1-0.75*2)*0.65*60*F559</f>
        <v>214.5</v>
      </c>
      <c r="L559" s="48">
        <v>10.16</v>
      </c>
      <c r="M559" s="48">
        <v>10.16</v>
      </c>
      <c r="N559" s="45">
        <v>10</v>
      </c>
      <c r="O559" s="45">
        <f>E559/F559</f>
        <v>1</v>
      </c>
      <c r="P559" s="45">
        <v>180</v>
      </c>
      <c r="Q559" s="45">
        <v>30</v>
      </c>
      <c r="R559" s="47">
        <v>0</v>
      </c>
      <c r="S559" s="47">
        <v>1.99</v>
      </c>
      <c r="T559" s="48">
        <f>ROUND((L559*I559+1.3*L559*K559+S559*H559),4)</f>
        <v>3540.78</v>
      </c>
      <c r="U559" s="48">
        <f>ROUND((M559*I559+1.3*M559*K559+S559*H559),4)</f>
        <v>3540.78</v>
      </c>
      <c r="V559" s="48">
        <f>ROUND((M559*I559+1.3*M559*K559+S559*H559),4)</f>
        <v>3540.78</v>
      </c>
      <c r="W559" s="48">
        <f>ROUND((L559*J559+1.3*L559*N559+S559*G559),4)</f>
        <v>286.26</v>
      </c>
      <c r="X559" s="48">
        <f>ROUND((M559*J559+1.3*M559*N559+S559*G559),4)</f>
        <v>286.26</v>
      </c>
      <c r="Y559" s="48">
        <f>ROUND((M559*J559+1.3*M559*N559+S559*G559),4)</f>
        <v>286.26</v>
      </c>
      <c r="Z559" s="49">
        <f>ROUND((P559*T559*F559*O559/1000000),4)</f>
        <v>0.63729999999999998</v>
      </c>
      <c r="AA559" s="49">
        <f>ROUND((Q559*U559*F559*O559/1000000),4)</f>
        <v>0.1062</v>
      </c>
      <c r="AB559" s="49">
        <f>ROUND((R559*V559*F559*O559/1000000),4)</f>
        <v>0</v>
      </c>
      <c r="AC559" s="50" t="s">
        <v>200</v>
      </c>
      <c r="AD559" s="51" t="s">
        <v>153</v>
      </c>
      <c r="AE559" s="44">
        <f>ROUND((((X559*E559)/1800)*0.8),4)</f>
        <v>0.12720000000000001</v>
      </c>
      <c r="AF559" s="44">
        <f>ROUND(((Z559+AA559+AB559)*0.8),4)</f>
        <v>0.5948</v>
      </c>
    </row>
    <row r="560" spans="1:32" ht="12.95" customHeight="1" x14ac:dyDescent="0.25">
      <c r="A560" s="52"/>
      <c r="B560" s="53" t="s">
        <v>216</v>
      </c>
      <c r="C560" s="52"/>
      <c r="D560" s="52"/>
      <c r="E560" s="52"/>
      <c r="F560" s="52"/>
      <c r="G560" s="52"/>
      <c r="H560" s="52"/>
      <c r="I560" s="52"/>
      <c r="J560" s="52"/>
      <c r="K560" s="52"/>
      <c r="L560" s="56"/>
      <c r="M560" s="56"/>
      <c r="N560" s="52"/>
      <c r="O560" s="52"/>
      <c r="P560" s="52"/>
      <c r="Q560" s="52"/>
      <c r="R560" s="52"/>
      <c r="S560" s="57"/>
      <c r="T560" s="54"/>
      <c r="U560" s="54"/>
      <c r="V560" s="54"/>
      <c r="W560" s="54"/>
      <c r="X560" s="54"/>
      <c r="Y560" s="54"/>
      <c r="Z560" s="54"/>
      <c r="AA560" s="54"/>
      <c r="AB560" s="54"/>
      <c r="AC560" s="50" t="s">
        <v>201</v>
      </c>
      <c r="AD560" s="51" t="s">
        <v>202</v>
      </c>
      <c r="AE560" s="44">
        <f>ROUND((((X559*E559)/1800)*0.13),4)</f>
        <v>2.07E-2</v>
      </c>
      <c r="AF560" s="44">
        <f>ROUND(((Z559+AA559+AB559)*0.13),4)</f>
        <v>9.6699999999999994E-2</v>
      </c>
    </row>
    <row r="561" spans="1:32" ht="12.95" customHeight="1" x14ac:dyDescent="0.25">
      <c r="A561" s="52"/>
      <c r="B561" s="88"/>
      <c r="C561" s="55"/>
      <c r="D561" s="55"/>
      <c r="E561" s="52"/>
      <c r="F561" s="63"/>
      <c r="G561" s="52"/>
      <c r="H561" s="52"/>
      <c r="I561" s="52"/>
      <c r="J561" s="52"/>
      <c r="K561" s="52"/>
      <c r="L561" s="59">
        <v>0.8</v>
      </c>
      <c r="M561" s="59">
        <v>0.98</v>
      </c>
      <c r="N561" s="52"/>
      <c r="O561" s="52"/>
      <c r="P561" s="52"/>
      <c r="Q561" s="52"/>
      <c r="R561" s="52"/>
      <c r="S561" s="60">
        <v>0.39</v>
      </c>
      <c r="T561" s="48">
        <f>ROUND((L561*I559+1.3*L561*K559+S561*H559),4)</f>
        <v>292.8</v>
      </c>
      <c r="U561" s="48">
        <f>ROUND((M561*0.9*I559+1.3*M561*0.9*K559+S561*H559),4)</f>
        <v>320.4135</v>
      </c>
      <c r="V561" s="48">
        <f>ROUND((M561*I559+1.3*M561*K559+S561*H559),4)</f>
        <v>353.41500000000002</v>
      </c>
      <c r="W561" s="48">
        <f>ROUND((L561*J559+1.3*L561*N559+S561*G559),4)</f>
        <v>23.94</v>
      </c>
      <c r="X561" s="48">
        <f>ROUND((M561*0.9*J559+1.3*M561*0.9*N559+S561*G559),4)</f>
        <v>26.154</v>
      </c>
      <c r="Y561" s="48">
        <f>ROUND((M561*J559+1.3*M561*N559+S561*G559),4)</f>
        <v>28.8</v>
      </c>
      <c r="Z561" s="49">
        <f>ROUND((P559*T561*F559*O559/1000000),4)</f>
        <v>5.2699999999999997E-2</v>
      </c>
      <c r="AA561" s="49">
        <f>ROUND((Q559*U561*F559*O559/1000000),4)</f>
        <v>9.5999999999999992E-3</v>
      </c>
      <c r="AB561" s="49">
        <f>ROUND((R559*V561*F559*O559/1000000),4)</f>
        <v>0</v>
      </c>
      <c r="AC561" s="50" t="s">
        <v>203</v>
      </c>
      <c r="AD561" s="51" t="s">
        <v>204</v>
      </c>
      <c r="AE561" s="44">
        <f>ROUND((((X561*E559)/1800)),4)</f>
        <v>1.4500000000000001E-2</v>
      </c>
      <c r="AF561" s="44">
        <f>ROUND(((Z561+AA561+AB561)),5)</f>
        <v>6.2300000000000001E-2</v>
      </c>
    </row>
    <row r="562" spans="1:32" ht="12.95" customHeight="1" x14ac:dyDescent="0.25">
      <c r="A562" s="52"/>
      <c r="B562" s="88"/>
      <c r="C562" s="52"/>
      <c r="D562" s="52"/>
      <c r="E562" s="52"/>
      <c r="F562" s="63"/>
      <c r="G562" s="52"/>
      <c r="H562" s="52"/>
      <c r="I562" s="52"/>
      <c r="J562" s="52"/>
      <c r="K562" s="52"/>
      <c r="L562" s="59">
        <v>1.79</v>
      </c>
      <c r="M562" s="59">
        <v>2.15</v>
      </c>
      <c r="N562" s="52"/>
      <c r="O562" s="52"/>
      <c r="P562" s="52"/>
      <c r="Q562" s="52"/>
      <c r="R562" s="52"/>
      <c r="S562" s="61">
        <v>1.24</v>
      </c>
      <c r="T562" s="48">
        <f>ROUND((L562*I559+1.3*L562*K559+S562*H559),4)</f>
        <v>677.1825</v>
      </c>
      <c r="U562" s="48">
        <f>ROUND((M562*0.9*I559+1.3*M562*0.9*K559+S562*H559),4)</f>
        <v>726.01130000000001</v>
      </c>
      <c r="V562" s="48">
        <f>ROUND((M562*I559+1.3*M562*K559+S562*H559),4)</f>
        <v>798.41250000000002</v>
      </c>
      <c r="W562" s="48">
        <f>ROUND((L562*J559+1.3*L562*N559+S562*G559),4)</f>
        <v>55.77</v>
      </c>
      <c r="X562" s="48">
        <f>ROUND((M562*0.9*J559+1.3*M562*0.9*N559+S562*G559),4)</f>
        <v>59.685000000000002</v>
      </c>
      <c r="Y562" s="48">
        <f>ROUND((M562*J559+1.3*N559+S562*G559),4)</f>
        <v>50.54</v>
      </c>
      <c r="Z562" s="49">
        <f>ROUND((P559*T562*F559*O559/1000000),4)</f>
        <v>0.12189999999999999</v>
      </c>
      <c r="AA562" s="49">
        <f>ROUND((Q559*U562*F559*O559/1000000),4)</f>
        <v>2.18E-2</v>
      </c>
      <c r="AB562" s="49">
        <f>ROUND((R559*V562*F559*O559/1000000),4)</f>
        <v>0</v>
      </c>
      <c r="AC562" s="50" t="s">
        <v>205</v>
      </c>
      <c r="AD562" s="51" t="s">
        <v>206</v>
      </c>
      <c r="AE562" s="44">
        <f>ROUND((((X562*E559)/1800)),4)</f>
        <v>3.32E-2</v>
      </c>
      <c r="AF562" s="44">
        <f>ROUND(((Z562+AA562+AB562)),4)</f>
        <v>0.14369999999999999</v>
      </c>
    </row>
    <row r="563" spans="1:32" ht="12.95" customHeight="1" x14ac:dyDescent="0.25">
      <c r="A563" s="52"/>
      <c r="B563" s="53"/>
      <c r="C563" s="52"/>
      <c r="D563" s="52"/>
      <c r="E563" s="52"/>
      <c r="F563" s="63"/>
      <c r="G563" s="52"/>
      <c r="H563" s="52"/>
      <c r="I563" s="52"/>
      <c r="J563" s="52"/>
      <c r="K563" s="52"/>
      <c r="L563" s="59">
        <v>1.1299999999999999</v>
      </c>
      <c r="M563" s="59">
        <v>1.7</v>
      </c>
      <c r="N563" s="52"/>
      <c r="O563" s="52"/>
      <c r="P563" s="52"/>
      <c r="Q563" s="52"/>
      <c r="R563" s="52"/>
      <c r="S563" s="61">
        <v>0.26</v>
      </c>
      <c r="T563" s="48">
        <f>ROUND((L563*I559+1.3*L563*K559+S563*H559),4)</f>
        <v>396.1275</v>
      </c>
      <c r="U563" s="48">
        <f>ROUND((M563*0.9*I559+1.3*M563*0.9*K559+S563*H559),4)</f>
        <v>530.82749999999999</v>
      </c>
      <c r="V563" s="48">
        <f>ROUND((M563*I559+1.3*M563*K559+S563*H559),4)</f>
        <v>588.07500000000005</v>
      </c>
      <c r="W563" s="48">
        <f>ROUND((L563*J559+1.3*L563*N559+S563*G559),4)</f>
        <v>32.07</v>
      </c>
      <c r="X563" s="48">
        <f>ROUND((M563*0.9*J559+1.3*M563*0.9*N559+S563*G559),4)</f>
        <v>42.87</v>
      </c>
      <c r="Y563" s="48">
        <f>ROUND((M563*J559+1.3*M563*N559+S563*G559),4)</f>
        <v>47.46</v>
      </c>
      <c r="Z563" s="49">
        <f>ROUND((P559*T563*F559*O559/1000000),4)</f>
        <v>7.1300000000000002E-2</v>
      </c>
      <c r="AA563" s="49">
        <f>ROUND((Q559*U563*F559*O559/1000000),4)</f>
        <v>1.5900000000000001E-2</v>
      </c>
      <c r="AB563" s="49">
        <f>ROUND((R559*V563*F559*O559/1000000),4)</f>
        <v>0</v>
      </c>
      <c r="AC563" s="50" t="s">
        <v>250</v>
      </c>
      <c r="AD563" s="51" t="s">
        <v>208</v>
      </c>
      <c r="AE563" s="44">
        <f>ROUND((((X563*E559)/1800)),4)</f>
        <v>2.3800000000000002E-2</v>
      </c>
      <c r="AF563" s="44">
        <f>ROUND(((Z563+AA563+AB563)),4)</f>
        <v>8.72E-2</v>
      </c>
    </row>
    <row r="564" spans="1:32" ht="12.95" customHeight="1" x14ac:dyDescent="0.25">
      <c r="A564" s="52"/>
      <c r="B564" s="62"/>
      <c r="C564" s="56"/>
      <c r="D564" s="56"/>
      <c r="E564" s="56"/>
      <c r="F564" s="66"/>
      <c r="G564" s="56"/>
      <c r="H564" s="56"/>
      <c r="I564" s="56"/>
      <c r="J564" s="56"/>
      <c r="K564" s="56"/>
      <c r="L564" s="59">
        <v>5.3</v>
      </c>
      <c r="M564" s="59">
        <v>6.47</v>
      </c>
      <c r="N564" s="56"/>
      <c r="O564" s="56"/>
      <c r="P564" s="56"/>
      <c r="Q564" s="56"/>
      <c r="R564" s="56"/>
      <c r="S564" s="61">
        <v>9.92</v>
      </c>
      <c r="T564" s="48">
        <f>ROUND((L564*I559+1.3*L564*K559+S564*H559),4)</f>
        <v>2379.9749999999999</v>
      </c>
      <c r="U564" s="48">
        <f>ROUND((M564*0.9*I559+1.3*M564*0.9*K559+S564*H559),4)</f>
        <v>2556.0953</v>
      </c>
      <c r="V564" s="48">
        <f>ROUND((M564*I559+1.3*M564*K559+S564*H559),4)</f>
        <v>2773.9724999999999</v>
      </c>
      <c r="W564" s="48">
        <f>ROUND((L564*J559+1.3*L564*N559+S564*G559),4)</f>
        <v>202.62</v>
      </c>
      <c r="X564" s="48">
        <f>ROUND((M564*0.9*J559+1.3*M564*0.9*N559+S564*G559),4)</f>
        <v>216.74100000000001</v>
      </c>
      <c r="Y564" s="48">
        <f>ROUND((M564*J559+1.3*M564*N559+S564*G559),4)</f>
        <v>234.21</v>
      </c>
      <c r="Z564" s="49">
        <f>ROUND((P559*T564*F559*O559/1000000),4)</f>
        <v>0.4284</v>
      </c>
      <c r="AA564" s="49">
        <f>ROUND((Q559*U564*F559*O559/1000000),4)</f>
        <v>7.6700000000000004E-2</v>
      </c>
      <c r="AB564" s="49">
        <f>ROUND((R559*V564*F559*O559/1000000),4)</f>
        <v>0</v>
      </c>
      <c r="AC564" s="50" t="s">
        <v>170</v>
      </c>
      <c r="AD564" s="51" t="s">
        <v>162</v>
      </c>
      <c r="AE564" s="44">
        <f>ROUND((((X564*E559)/1800)),4)</f>
        <v>0.12039999999999999</v>
      </c>
      <c r="AF564" s="44">
        <f>ROUND(((Z564+AA564+AB564)),4)</f>
        <v>0.50509999999999999</v>
      </c>
    </row>
    <row r="565" spans="1:32" ht="12.95" customHeight="1" x14ac:dyDescent="0.25">
      <c r="A565" s="52"/>
      <c r="B565" s="67" t="s">
        <v>220</v>
      </c>
      <c r="C565" s="46">
        <v>7</v>
      </c>
      <c r="D565" s="45" t="s">
        <v>217</v>
      </c>
      <c r="E565" s="45">
        <v>1</v>
      </c>
      <c r="F565" s="45">
        <v>3</v>
      </c>
      <c r="G565" s="45">
        <v>6</v>
      </c>
      <c r="H565" s="45">
        <v>60</v>
      </c>
      <c r="I565" s="45">
        <f>(8-1-0.75*2)*60*F565-K565-8*0.12*60</f>
        <v>288.89999999999998</v>
      </c>
      <c r="J565" s="45">
        <v>14</v>
      </c>
      <c r="K565" s="45">
        <f>(8-1-0.75*2)*0.65*60*F565</f>
        <v>643.5</v>
      </c>
      <c r="L565" s="48">
        <v>10.16</v>
      </c>
      <c r="M565" s="48">
        <v>10.16</v>
      </c>
      <c r="N565" s="45">
        <v>10</v>
      </c>
      <c r="O565" s="45">
        <f>E565/F565</f>
        <v>0.33333333333333331</v>
      </c>
      <c r="P565" s="45">
        <v>60</v>
      </c>
      <c r="Q565" s="45">
        <v>15</v>
      </c>
      <c r="R565" s="47">
        <v>15</v>
      </c>
      <c r="S565" s="47">
        <v>1.99</v>
      </c>
      <c r="T565" s="48">
        <f>ROUND((L565*I565+1.3*L565*K565+S565*H565),4)</f>
        <v>11553.972</v>
      </c>
      <c r="U565" s="48">
        <f>ROUND((M565*I565+1.3*M565*K565+S565*H565),4)</f>
        <v>11553.972</v>
      </c>
      <c r="V565" s="48">
        <f>ROUND((M565*I565+1.3*M565*K565+S565*H565),4)</f>
        <v>11553.972</v>
      </c>
      <c r="W565" s="48">
        <f>ROUND((L565*J565+1.3*L565*N565+S565*G565),4)</f>
        <v>286.26</v>
      </c>
      <c r="X565" s="48">
        <f>ROUND((M565*J565+1.3*M565*N565+S565*G565),4)</f>
        <v>286.26</v>
      </c>
      <c r="Y565" s="48">
        <f>ROUND((M565*J565+1.3*M565*N565+S565*G565),4)</f>
        <v>286.26</v>
      </c>
      <c r="Z565" s="49">
        <f>ROUND((P565*T565*F565*O565/1000000),4)</f>
        <v>0.69320000000000004</v>
      </c>
      <c r="AA565" s="49">
        <f>ROUND((Q565*U565*F565*O565/1000000),4)</f>
        <v>0.17330000000000001</v>
      </c>
      <c r="AB565" s="49">
        <f>ROUND((R565*V565*F565*O565/1000000),4)</f>
        <v>0.17330000000000001</v>
      </c>
      <c r="AC565" s="50" t="s">
        <v>200</v>
      </c>
      <c r="AD565" s="51" t="s">
        <v>153</v>
      </c>
      <c r="AE565" s="44">
        <f>ROUND((((X565*E565)/1800)*0.8),4)</f>
        <v>0.12720000000000001</v>
      </c>
      <c r="AF565" s="44">
        <f>ROUND(((Z565+AA565+AB565)*0.8),4)</f>
        <v>0.83179999999999998</v>
      </c>
    </row>
    <row r="566" spans="1:32" ht="12.95" customHeight="1" x14ac:dyDescent="0.25">
      <c r="A566" s="52"/>
      <c r="B566" s="53" t="s">
        <v>221</v>
      </c>
      <c r="C566" s="52"/>
      <c r="D566" s="52"/>
      <c r="E566" s="52"/>
      <c r="F566" s="52"/>
      <c r="G566" s="52"/>
      <c r="H566" s="52"/>
      <c r="I566" s="52"/>
      <c r="J566" s="52"/>
      <c r="K566" s="52"/>
      <c r="L566" s="56"/>
      <c r="M566" s="56"/>
      <c r="N566" s="52"/>
      <c r="O566" s="52"/>
      <c r="P566" s="52"/>
      <c r="Q566" s="52"/>
      <c r="R566" s="52"/>
      <c r="S566" s="57"/>
      <c r="T566" s="54"/>
      <c r="U566" s="54"/>
      <c r="V566" s="54"/>
      <c r="W566" s="54"/>
      <c r="X566" s="54"/>
      <c r="Y566" s="54"/>
      <c r="Z566" s="54"/>
      <c r="AA566" s="54"/>
      <c r="AB566" s="54"/>
      <c r="AC566" s="50" t="s">
        <v>201</v>
      </c>
      <c r="AD566" s="51" t="s">
        <v>202</v>
      </c>
      <c r="AE566" s="44">
        <f>ROUND((((X565*E565)/1800)*0.13),4)</f>
        <v>2.07E-2</v>
      </c>
      <c r="AF566" s="44">
        <f>ROUND(((Z565+AA565+AB565)*0.13),4)</f>
        <v>0.13519999999999999</v>
      </c>
    </row>
    <row r="567" spans="1:32" ht="12.95" customHeight="1" x14ac:dyDescent="0.25">
      <c r="A567" s="52"/>
      <c r="B567" s="88"/>
      <c r="C567" s="55"/>
      <c r="D567" s="55"/>
      <c r="E567" s="52"/>
      <c r="F567" s="52"/>
      <c r="G567" s="52"/>
      <c r="H567" s="52"/>
      <c r="I567" s="52"/>
      <c r="J567" s="52"/>
      <c r="K567" s="52"/>
      <c r="L567" s="59">
        <v>0.8</v>
      </c>
      <c r="M567" s="59">
        <v>0.98</v>
      </c>
      <c r="N567" s="52"/>
      <c r="O567" s="52"/>
      <c r="P567" s="52"/>
      <c r="Q567" s="52"/>
      <c r="R567" s="52"/>
      <c r="S567" s="60">
        <v>0.39</v>
      </c>
      <c r="T567" s="48">
        <f>ROUND((L567*I565+1.3*L567*K565+S567*H565),4)</f>
        <v>923.76</v>
      </c>
      <c r="U567" s="48">
        <f>ROUND((M567*0.9*I565+1.3*M567*0.9*K565+S567*H565),4)</f>
        <v>1016.0469000000001</v>
      </c>
      <c r="V567" s="48">
        <f>ROUND((M567*I565+1.3*M567*K565+S567*H565),4)</f>
        <v>1126.3409999999999</v>
      </c>
      <c r="W567" s="48">
        <f>ROUND((L567*J565+1.3*L567*N565+S567*G565),4)</f>
        <v>23.94</v>
      </c>
      <c r="X567" s="48">
        <f>ROUND((M567*0.9*J565+1.3*M567*0.9*N565+S567*G565),4)</f>
        <v>26.154</v>
      </c>
      <c r="Y567" s="48">
        <f>ROUND((M567*J565+1.3*M567*N565+S567*G565),4)</f>
        <v>28.8</v>
      </c>
      <c r="Z567" s="49">
        <f>ROUND((P565*T567*F565*O565/1000000),4)</f>
        <v>5.5399999999999998E-2</v>
      </c>
      <c r="AA567" s="49">
        <f>ROUND((Q565*U567*F565*O565/1000000),4)</f>
        <v>1.52E-2</v>
      </c>
      <c r="AB567" s="49">
        <f>ROUND((R565*V567*F565*O565/1000000),4)</f>
        <v>1.6899999999999998E-2</v>
      </c>
      <c r="AC567" s="50" t="s">
        <v>203</v>
      </c>
      <c r="AD567" s="51" t="s">
        <v>204</v>
      </c>
      <c r="AE567" s="44">
        <f>ROUND((((X567*E565)/1800)),4)</f>
        <v>1.4500000000000001E-2</v>
      </c>
      <c r="AF567" s="44">
        <f>ROUND(((Z567+AA567+AB567)),5)</f>
        <v>8.7499999999999994E-2</v>
      </c>
    </row>
    <row r="568" spans="1:32" ht="12.95" customHeight="1" x14ac:dyDescent="0.25">
      <c r="A568" s="52"/>
      <c r="B568" s="88"/>
      <c r="C568" s="52"/>
      <c r="D568" s="52"/>
      <c r="E568" s="52"/>
      <c r="F568" s="52"/>
      <c r="G568" s="52"/>
      <c r="H568" s="52"/>
      <c r="I568" s="52"/>
      <c r="J568" s="52"/>
      <c r="K568" s="52"/>
      <c r="L568" s="59">
        <v>1.79</v>
      </c>
      <c r="M568" s="59">
        <v>2.15</v>
      </c>
      <c r="N568" s="52"/>
      <c r="O568" s="52"/>
      <c r="P568" s="52"/>
      <c r="Q568" s="52"/>
      <c r="R568" s="52"/>
      <c r="S568" s="61">
        <v>1.24</v>
      </c>
      <c r="T568" s="48">
        <f>ROUND((L568*I565+1.3*L568*K565+S568*H565),4)</f>
        <v>2088.9555</v>
      </c>
      <c r="U568" s="48">
        <f>ROUND((M568*0.9*I565+1.3*M568*0.9*K565+S568*H565),4)</f>
        <v>2252.1457999999998</v>
      </c>
      <c r="V568" s="48">
        <f>ROUND((M568*I565+1.3*M568*K565+S568*H565),4)</f>
        <v>2494.1174999999998</v>
      </c>
      <c r="W568" s="48">
        <f>ROUND((L568*J565+1.3*L568*N565+S568*G565),4)</f>
        <v>55.77</v>
      </c>
      <c r="X568" s="48">
        <f>ROUND((M568*0.9*J565+1.3*M568*0.9*N565+S568*G565),4)</f>
        <v>59.685000000000002</v>
      </c>
      <c r="Y568" s="48">
        <f>ROUND((M568*J565+1.3*N565+S568*G565),4)</f>
        <v>50.54</v>
      </c>
      <c r="Z568" s="49">
        <f>ROUND((P565*T568*F565*O565/1000000),4)</f>
        <v>0.12529999999999999</v>
      </c>
      <c r="AA568" s="49">
        <f>ROUND((Q565*U568*F565*O565/1000000),4)</f>
        <v>3.3799999999999997E-2</v>
      </c>
      <c r="AB568" s="49">
        <f>ROUND((R565*V568*F565*O565/1000000),4)</f>
        <v>3.7400000000000003E-2</v>
      </c>
      <c r="AC568" s="50" t="s">
        <v>205</v>
      </c>
      <c r="AD568" s="51" t="s">
        <v>206</v>
      </c>
      <c r="AE568" s="44">
        <f>ROUND((((X568*E565)/1800)),4)</f>
        <v>3.32E-2</v>
      </c>
      <c r="AF568" s="44">
        <f>ROUND(((Z568+AA568+AB568)),4)</f>
        <v>0.19650000000000001</v>
      </c>
    </row>
    <row r="569" spans="1:32" ht="12.95" customHeight="1" x14ac:dyDescent="0.25">
      <c r="A569" s="52"/>
      <c r="B569" s="53"/>
      <c r="C569" s="52"/>
      <c r="D569" s="52"/>
      <c r="E569" s="52"/>
      <c r="F569" s="52"/>
      <c r="G569" s="52"/>
      <c r="H569" s="52"/>
      <c r="I569" s="52"/>
      <c r="J569" s="52"/>
      <c r="K569" s="52"/>
      <c r="L569" s="59">
        <v>1.1299999999999999</v>
      </c>
      <c r="M569" s="59">
        <v>1.7</v>
      </c>
      <c r="N569" s="52"/>
      <c r="O569" s="52"/>
      <c r="P569" s="52"/>
      <c r="Q569" s="52"/>
      <c r="R569" s="52"/>
      <c r="S569" s="61">
        <v>0.26</v>
      </c>
      <c r="T569" s="48">
        <f>ROUND((L569*I565+1.3*L569*K565+S569*H565),4)</f>
        <v>1287.3585</v>
      </c>
      <c r="U569" s="48">
        <f>ROUND((M569*0.9*I565+1.3*M569*0.9*K565+S569*H565),4)</f>
        <v>1737.5385000000001</v>
      </c>
      <c r="V569" s="48">
        <f>ROUND((M569*I565+1.3*M569*K565+S569*H565),4)</f>
        <v>1928.865</v>
      </c>
      <c r="W569" s="48">
        <f>ROUND((L569*J565+1.3*L569*N565+S569*G565),4)</f>
        <v>32.07</v>
      </c>
      <c r="X569" s="48">
        <f>ROUND((M569*0.9*J565+1.3*M569*0.9*N565+S569*G565),4)</f>
        <v>42.87</v>
      </c>
      <c r="Y569" s="48">
        <f>ROUND((M569*J565+1.3*M569*N565+S569*G565),4)</f>
        <v>47.46</v>
      </c>
      <c r="Z569" s="49">
        <f>ROUND((P565*T569*F565*O565/1000000),4)</f>
        <v>7.7200000000000005E-2</v>
      </c>
      <c r="AA569" s="49">
        <f>ROUND((Q565*U569*F565*O565/1000000),4)</f>
        <v>2.6100000000000002E-2</v>
      </c>
      <c r="AB569" s="49">
        <f>ROUND((R565*V569*F565*O565/1000000),4)</f>
        <v>2.8899999999999999E-2</v>
      </c>
      <c r="AC569" s="50" t="s">
        <v>250</v>
      </c>
      <c r="AD569" s="51" t="s">
        <v>208</v>
      </c>
      <c r="AE569" s="44">
        <f>ROUND((((X569*E565)/1800)),4)</f>
        <v>2.3800000000000002E-2</v>
      </c>
      <c r="AF569" s="44">
        <f>ROUND(((Z569+AA569+AB569)),4)</f>
        <v>0.13220000000000001</v>
      </c>
    </row>
    <row r="570" spans="1:32" ht="12.95" customHeight="1" x14ac:dyDescent="0.25">
      <c r="A570" s="52"/>
      <c r="B570" s="62"/>
      <c r="C570" s="56"/>
      <c r="D570" s="56"/>
      <c r="E570" s="56"/>
      <c r="F570" s="56"/>
      <c r="G570" s="56"/>
      <c r="H570" s="56"/>
      <c r="I570" s="56"/>
      <c r="J570" s="56"/>
      <c r="K570" s="56"/>
      <c r="L570" s="59">
        <v>5.3</v>
      </c>
      <c r="M570" s="59">
        <v>6.47</v>
      </c>
      <c r="N570" s="56"/>
      <c r="O570" s="56"/>
      <c r="P570" s="56"/>
      <c r="Q570" s="56"/>
      <c r="R570" s="56"/>
      <c r="S570" s="61">
        <v>9.92</v>
      </c>
      <c r="T570" s="48">
        <f>ROUND((L570*I565+1.3*L570*K565+S570*H565),4)</f>
        <v>6560.085</v>
      </c>
      <c r="U570" s="48">
        <f>ROUND((M570*0.9*I565+1.3*M570*0.9*K565+S570*H565),4)</f>
        <v>7148.6953999999996</v>
      </c>
      <c r="V570" s="48">
        <f>ROUND((M570*I565+1.3*M570*K565+S570*H565),4)</f>
        <v>7876.8615</v>
      </c>
      <c r="W570" s="48">
        <f>ROUND((L570*J565+1.3*L570*N565+S570*G565),4)</f>
        <v>202.62</v>
      </c>
      <c r="X570" s="48">
        <f>ROUND((M570*0.9*J565+1.3*M570*0.9*N565+S570*G565),4)</f>
        <v>216.74100000000001</v>
      </c>
      <c r="Y570" s="48">
        <f>ROUND((M570*J565+1.3*M570*N565+S570*G565),4)</f>
        <v>234.21</v>
      </c>
      <c r="Z570" s="49">
        <f>ROUND((P565*T570*F565*O565/1000000),4)</f>
        <v>0.39360000000000001</v>
      </c>
      <c r="AA570" s="49">
        <f>ROUND((Q565*U570*F565*O565/1000000),4)</f>
        <v>0.1072</v>
      </c>
      <c r="AB570" s="49">
        <f>ROUND((R565*V570*F565*O565/1000000),4)</f>
        <v>0.1182</v>
      </c>
      <c r="AC570" s="50" t="s">
        <v>170</v>
      </c>
      <c r="AD570" s="51" t="s">
        <v>162</v>
      </c>
      <c r="AE570" s="44">
        <f>ROUND((((X570*E565)/1800)),4)</f>
        <v>0.12039999999999999</v>
      </c>
      <c r="AF570" s="44">
        <f>ROUND(((Z570+AA570+AB570)),4)</f>
        <v>0.61899999999999999</v>
      </c>
    </row>
    <row r="571" spans="1:32" ht="12.95" customHeight="1" x14ac:dyDescent="0.25">
      <c r="A571" s="52"/>
      <c r="B571" s="67" t="s">
        <v>220</v>
      </c>
      <c r="C571" s="46">
        <v>7</v>
      </c>
      <c r="D571" s="45" t="s">
        <v>217</v>
      </c>
      <c r="E571" s="45">
        <v>1</v>
      </c>
      <c r="F571" s="45">
        <v>1</v>
      </c>
      <c r="G571" s="45">
        <v>6</v>
      </c>
      <c r="H571" s="45">
        <v>60</v>
      </c>
      <c r="I571" s="45">
        <f>(8-1-0.75*2)*60*F571-K571-8*0.12*60</f>
        <v>57.900000000000006</v>
      </c>
      <c r="J571" s="45">
        <v>14</v>
      </c>
      <c r="K571" s="45">
        <f>(8-1-0.75*2)*0.65*60*F571</f>
        <v>214.5</v>
      </c>
      <c r="L571" s="48">
        <v>10.16</v>
      </c>
      <c r="M571" s="48">
        <v>10.16</v>
      </c>
      <c r="N571" s="45">
        <v>10</v>
      </c>
      <c r="O571" s="45">
        <f>E571/F571</f>
        <v>1</v>
      </c>
      <c r="P571" s="45">
        <v>60</v>
      </c>
      <c r="Q571" s="45">
        <v>15</v>
      </c>
      <c r="R571" s="47">
        <v>15</v>
      </c>
      <c r="S571" s="47">
        <v>1.99</v>
      </c>
      <c r="T571" s="48">
        <f>ROUND((L571*I571+1.3*L571*K571+S571*H571),4)</f>
        <v>3540.78</v>
      </c>
      <c r="U571" s="48">
        <f>ROUND((M571*I571+1.3*M571*K571+S571*H571),4)</f>
        <v>3540.78</v>
      </c>
      <c r="V571" s="48">
        <f>ROUND((M571*I571+1.3*M571*K571+S571*H571),4)</f>
        <v>3540.78</v>
      </c>
      <c r="W571" s="48">
        <f>ROUND((L571*J571+1.3*L571*N571+S571*G571),4)</f>
        <v>286.26</v>
      </c>
      <c r="X571" s="48">
        <f>ROUND((M571*J571+1.3*M571*N571+S571*G571),4)</f>
        <v>286.26</v>
      </c>
      <c r="Y571" s="48">
        <f>ROUND((M571*J571+1.3*M571*N571+S571*G571),4)</f>
        <v>286.26</v>
      </c>
      <c r="Z571" s="49">
        <f>ROUND((P571*T571*F571*O571/1000000),4)</f>
        <v>0.21240000000000001</v>
      </c>
      <c r="AA571" s="49">
        <f>ROUND((Q571*U571*F571*O571/1000000),4)</f>
        <v>5.3100000000000001E-2</v>
      </c>
      <c r="AB571" s="49">
        <f>ROUND((R571*V571*F571*O571/1000000),4)</f>
        <v>5.3100000000000001E-2</v>
      </c>
      <c r="AC571" s="50" t="s">
        <v>200</v>
      </c>
      <c r="AD571" s="51" t="s">
        <v>153</v>
      </c>
      <c r="AE571" s="44">
        <f>ROUND((((X571*E571)/1800)*0.8),4)</f>
        <v>0.12720000000000001</v>
      </c>
      <c r="AF571" s="44">
        <f>ROUND(((Z571+AA571+AB571)*0.8),4)</f>
        <v>0.25490000000000002</v>
      </c>
    </row>
    <row r="572" spans="1:32" ht="12.95" customHeight="1" x14ac:dyDescent="0.25">
      <c r="A572" s="52"/>
      <c r="B572" s="53" t="s">
        <v>222</v>
      </c>
      <c r="C572" s="52"/>
      <c r="D572" s="52"/>
      <c r="E572" s="52"/>
      <c r="F572" s="52"/>
      <c r="G572" s="52"/>
      <c r="H572" s="52"/>
      <c r="I572" s="52"/>
      <c r="J572" s="52"/>
      <c r="K572" s="52"/>
      <c r="L572" s="56"/>
      <c r="M572" s="56"/>
      <c r="N572" s="52"/>
      <c r="O572" s="52"/>
      <c r="P572" s="52"/>
      <c r="Q572" s="52"/>
      <c r="R572" s="52"/>
      <c r="S572" s="57"/>
      <c r="T572" s="54"/>
      <c r="U572" s="54"/>
      <c r="V572" s="54"/>
      <c r="W572" s="54"/>
      <c r="X572" s="54"/>
      <c r="Y572" s="54"/>
      <c r="Z572" s="54"/>
      <c r="AA572" s="54"/>
      <c r="AB572" s="54"/>
      <c r="AC572" s="50" t="s">
        <v>201</v>
      </c>
      <c r="AD572" s="51" t="s">
        <v>202</v>
      </c>
      <c r="AE572" s="44">
        <f>ROUND((((X571*E571)/1800)*0.13),4)</f>
        <v>2.07E-2</v>
      </c>
      <c r="AF572" s="44">
        <f>ROUND(((Z571+AA571+AB571)*0.13),4)</f>
        <v>4.1399999999999999E-2</v>
      </c>
    </row>
    <row r="573" spans="1:32" ht="12.95" customHeight="1" x14ac:dyDescent="0.25">
      <c r="A573" s="52"/>
      <c r="B573" s="88"/>
      <c r="C573" s="55"/>
      <c r="D573" s="55"/>
      <c r="E573" s="52"/>
      <c r="F573" s="63"/>
      <c r="G573" s="52"/>
      <c r="H573" s="52"/>
      <c r="I573" s="52"/>
      <c r="J573" s="52"/>
      <c r="K573" s="52"/>
      <c r="L573" s="59">
        <v>0.8</v>
      </c>
      <c r="M573" s="59">
        <v>0.98</v>
      </c>
      <c r="N573" s="52"/>
      <c r="O573" s="52"/>
      <c r="P573" s="52"/>
      <c r="Q573" s="52"/>
      <c r="R573" s="52"/>
      <c r="S573" s="60">
        <v>0.39</v>
      </c>
      <c r="T573" s="48">
        <f>ROUND((L573*I571+1.3*L573*K571+S573*H571),4)</f>
        <v>292.8</v>
      </c>
      <c r="U573" s="48">
        <f>ROUND((M573*0.9*I571+1.3*M573*0.9*K571+S573*H571),4)</f>
        <v>320.4135</v>
      </c>
      <c r="V573" s="48">
        <f>ROUND((M573*I571+1.3*M573*K571+S573*H571),4)</f>
        <v>353.41500000000002</v>
      </c>
      <c r="W573" s="48">
        <f>ROUND((L573*J571+1.3*L573*N571+S573*G571),4)</f>
        <v>23.94</v>
      </c>
      <c r="X573" s="48">
        <f>ROUND((M573*0.9*J571+1.3*M573*0.9*N571+S573*G571),4)</f>
        <v>26.154</v>
      </c>
      <c r="Y573" s="48">
        <f>ROUND((M573*J571+1.3*M573*N571+S573*G571),4)</f>
        <v>28.8</v>
      </c>
      <c r="Z573" s="49">
        <f>ROUND((P571*T573*F571*O571/1000000),4)</f>
        <v>1.7600000000000001E-2</v>
      </c>
      <c r="AA573" s="49">
        <f>ROUND((Q571*U573*F571*O571/1000000),4)</f>
        <v>4.7999999999999996E-3</v>
      </c>
      <c r="AB573" s="49">
        <f>ROUND((R571*V573*F571*O571/1000000),4)</f>
        <v>5.3E-3</v>
      </c>
      <c r="AC573" s="50" t="s">
        <v>203</v>
      </c>
      <c r="AD573" s="51" t="s">
        <v>204</v>
      </c>
      <c r="AE573" s="44">
        <f>ROUND((((X573*E571)/1800)),4)</f>
        <v>1.4500000000000001E-2</v>
      </c>
      <c r="AF573" s="44">
        <f>ROUND(((Z573+AA573+AB573)),5)</f>
        <v>2.7699999999999999E-2</v>
      </c>
    </row>
    <row r="574" spans="1:32" ht="12.95" customHeight="1" x14ac:dyDescent="0.25">
      <c r="A574" s="52"/>
      <c r="B574" s="88"/>
      <c r="C574" s="52"/>
      <c r="D574" s="52"/>
      <c r="E574" s="52"/>
      <c r="F574" s="63"/>
      <c r="G574" s="52"/>
      <c r="H574" s="52"/>
      <c r="I574" s="52"/>
      <c r="J574" s="52"/>
      <c r="K574" s="52"/>
      <c r="L574" s="59">
        <v>1.79</v>
      </c>
      <c r="M574" s="59">
        <v>2.15</v>
      </c>
      <c r="N574" s="52"/>
      <c r="O574" s="52"/>
      <c r="P574" s="52"/>
      <c r="Q574" s="52"/>
      <c r="R574" s="52"/>
      <c r="S574" s="61">
        <v>1.24</v>
      </c>
      <c r="T574" s="48">
        <f>ROUND((L574*I571+1.3*L574*K571+S574*H571),4)</f>
        <v>677.1825</v>
      </c>
      <c r="U574" s="48">
        <f>ROUND((M574*0.9*I571+1.3*M574*0.9*K571+S574*H571),4)</f>
        <v>726.01130000000001</v>
      </c>
      <c r="V574" s="48">
        <f>ROUND((M574*I571+1.3*M574*K571+S574*H571),4)</f>
        <v>798.41250000000002</v>
      </c>
      <c r="W574" s="48">
        <f>ROUND((L574*J571+1.3*L574*N571+S574*G571),4)</f>
        <v>55.77</v>
      </c>
      <c r="X574" s="48">
        <f>ROUND((M574*0.9*J571+1.3*M574*0.9*N571+S574*G571),4)</f>
        <v>59.685000000000002</v>
      </c>
      <c r="Y574" s="48">
        <f>ROUND((M574*J571+1.3*N571+S574*G571),4)</f>
        <v>50.54</v>
      </c>
      <c r="Z574" s="49">
        <f>ROUND((P571*T574*F571*O571/1000000),4)</f>
        <v>4.0599999999999997E-2</v>
      </c>
      <c r="AA574" s="49">
        <f>ROUND((Q571*U574*F571*O571/1000000),4)</f>
        <v>1.09E-2</v>
      </c>
      <c r="AB574" s="49">
        <f>ROUND((R571*V574*F571*O571/1000000),4)</f>
        <v>1.2E-2</v>
      </c>
      <c r="AC574" s="50" t="s">
        <v>205</v>
      </c>
      <c r="AD574" s="51" t="s">
        <v>206</v>
      </c>
      <c r="AE574" s="44">
        <f>ROUND((((X574*E571)/1800)),4)</f>
        <v>3.32E-2</v>
      </c>
      <c r="AF574" s="44">
        <f>ROUND(((Z574+AA574+AB574)),4)</f>
        <v>6.3500000000000001E-2</v>
      </c>
    </row>
    <row r="575" spans="1:32" ht="12.95" customHeight="1" x14ac:dyDescent="0.25">
      <c r="A575" s="52"/>
      <c r="B575" s="53"/>
      <c r="C575" s="52"/>
      <c r="D575" s="52"/>
      <c r="E575" s="52"/>
      <c r="F575" s="63"/>
      <c r="G575" s="52"/>
      <c r="H575" s="52"/>
      <c r="I575" s="52"/>
      <c r="J575" s="52"/>
      <c r="K575" s="52"/>
      <c r="L575" s="59">
        <v>1.1299999999999999</v>
      </c>
      <c r="M575" s="59">
        <v>1.7</v>
      </c>
      <c r="N575" s="52"/>
      <c r="O575" s="52"/>
      <c r="P575" s="52"/>
      <c r="Q575" s="52"/>
      <c r="R575" s="52"/>
      <c r="S575" s="61">
        <v>0.26</v>
      </c>
      <c r="T575" s="48">
        <f>ROUND((L575*I571+1.3*L575*K571+S575*H571),4)</f>
        <v>396.1275</v>
      </c>
      <c r="U575" s="48">
        <f>ROUND((M575*0.9*I571+1.3*M575*0.9*K571+S575*H571),4)</f>
        <v>530.82749999999999</v>
      </c>
      <c r="V575" s="48">
        <f>ROUND((M575*I571+1.3*M575*K571+S575*H571),4)</f>
        <v>588.07500000000005</v>
      </c>
      <c r="W575" s="48">
        <f>ROUND((L575*J571+1.3*L575*N571+S575*G571),4)</f>
        <v>32.07</v>
      </c>
      <c r="X575" s="48">
        <f>ROUND((M575*0.9*J571+1.3*M575*0.9*N571+S575*G571),4)</f>
        <v>42.87</v>
      </c>
      <c r="Y575" s="48">
        <f>ROUND((M575*J571+1.3*M575*N571+S575*G571),4)</f>
        <v>47.46</v>
      </c>
      <c r="Z575" s="49">
        <f>ROUND((P571*T575*F571*O571/1000000),4)</f>
        <v>2.3800000000000002E-2</v>
      </c>
      <c r="AA575" s="49">
        <f>ROUND((Q571*U575*F571*O571/1000000),4)</f>
        <v>8.0000000000000002E-3</v>
      </c>
      <c r="AB575" s="49">
        <f>ROUND((R571*V575*F571*O571/1000000),4)</f>
        <v>8.8000000000000005E-3</v>
      </c>
      <c r="AC575" s="50" t="s">
        <v>250</v>
      </c>
      <c r="AD575" s="51" t="s">
        <v>208</v>
      </c>
      <c r="AE575" s="44">
        <f>ROUND((((X575*E571)/1800)),4)</f>
        <v>2.3800000000000002E-2</v>
      </c>
      <c r="AF575" s="44">
        <f>ROUND(((Z575+AA575+AB575)),4)</f>
        <v>4.0599999999999997E-2</v>
      </c>
    </row>
    <row r="576" spans="1:32" ht="12.95" customHeight="1" x14ac:dyDescent="0.25">
      <c r="A576" s="52"/>
      <c r="B576" s="62"/>
      <c r="C576" s="56"/>
      <c r="D576" s="56"/>
      <c r="E576" s="56"/>
      <c r="F576" s="66"/>
      <c r="G576" s="56"/>
      <c r="H576" s="56"/>
      <c r="I576" s="56"/>
      <c r="J576" s="56"/>
      <c r="K576" s="56"/>
      <c r="L576" s="59">
        <v>5.3</v>
      </c>
      <c r="M576" s="59">
        <v>6.47</v>
      </c>
      <c r="N576" s="56"/>
      <c r="O576" s="56"/>
      <c r="P576" s="56"/>
      <c r="Q576" s="56"/>
      <c r="R576" s="56"/>
      <c r="S576" s="61">
        <v>9.92</v>
      </c>
      <c r="T576" s="48">
        <f>ROUND((L576*I571+1.3*L576*K571+S576*H571),4)</f>
        <v>2379.9749999999999</v>
      </c>
      <c r="U576" s="48">
        <f>ROUND((M576*0.9*I571+1.3*M576*0.9*K571+S576*H571),4)</f>
        <v>2556.0953</v>
      </c>
      <c r="V576" s="48">
        <f>ROUND((M576*I571+1.3*M576*K571+S576*H571),4)</f>
        <v>2773.9724999999999</v>
      </c>
      <c r="W576" s="48">
        <f>ROUND((L576*J571+1.3*L576*N571+S576*G571),4)</f>
        <v>202.62</v>
      </c>
      <c r="X576" s="48">
        <f>ROUND((M576*0.9*J571+1.3*M576*0.9*N571+S576*G571),4)</f>
        <v>216.74100000000001</v>
      </c>
      <c r="Y576" s="48">
        <f>ROUND((M576*J571+1.3*M576*N571+S576*G571),4)</f>
        <v>234.21</v>
      </c>
      <c r="Z576" s="49">
        <f>ROUND((P571*T576*F571*O571/1000000),4)</f>
        <v>0.14280000000000001</v>
      </c>
      <c r="AA576" s="49">
        <f>ROUND((Q571*U576*F571*O571/1000000),4)</f>
        <v>3.8300000000000001E-2</v>
      </c>
      <c r="AB576" s="49">
        <f>ROUND((R571*V576*F571*O571/1000000),4)</f>
        <v>4.1599999999999998E-2</v>
      </c>
      <c r="AC576" s="50" t="s">
        <v>170</v>
      </c>
      <c r="AD576" s="51" t="s">
        <v>162</v>
      </c>
      <c r="AE576" s="44">
        <f>ROUND((((X576*E571)/1800)),4)</f>
        <v>0.12039999999999999</v>
      </c>
      <c r="AF576" s="44">
        <f>ROUND(((Z576+AA576+AB576)),4)</f>
        <v>0.22270000000000001</v>
      </c>
    </row>
    <row r="577" spans="1:34" ht="12.95" customHeight="1" x14ac:dyDescent="0.25">
      <c r="A577" s="52"/>
      <c r="B577" s="67" t="s">
        <v>223</v>
      </c>
      <c r="C577" s="46">
        <v>1</v>
      </c>
      <c r="D577" s="45" t="s">
        <v>225</v>
      </c>
      <c r="E577" s="45">
        <v>1</v>
      </c>
      <c r="F577" s="45">
        <v>1</v>
      </c>
      <c r="G577" s="45">
        <v>6</v>
      </c>
      <c r="H577" s="45">
        <v>60</v>
      </c>
      <c r="I577" s="45">
        <f>(8-1-0.75*2)*60*F577-K577-8*0.12*60</f>
        <v>57.900000000000006</v>
      </c>
      <c r="J577" s="45">
        <v>14</v>
      </c>
      <c r="K577" s="45">
        <f>(8-1-0.75*2)*0.65*60*F577</f>
        <v>214.5</v>
      </c>
      <c r="L577" s="48">
        <v>0.47</v>
      </c>
      <c r="M577" s="48">
        <v>0.47</v>
      </c>
      <c r="N577" s="45">
        <v>10</v>
      </c>
      <c r="O577" s="45">
        <f>E577/F577</f>
        <v>1</v>
      </c>
      <c r="P577" s="45">
        <v>50</v>
      </c>
      <c r="Q577" s="45">
        <v>10</v>
      </c>
      <c r="R577" s="47">
        <v>0</v>
      </c>
      <c r="S577" s="47">
        <v>0.09</v>
      </c>
      <c r="T577" s="48">
        <f>ROUND((L577*I577+1.3*L577*K577+S577*H577),4)</f>
        <v>163.67250000000001</v>
      </c>
      <c r="U577" s="48">
        <f>ROUND((M577*I577+1.3*M577*K577+S577*H577),4)</f>
        <v>163.67250000000001</v>
      </c>
      <c r="V577" s="48">
        <f>ROUND((M577*I577+1.3*M577*K577+S577*H577),4)</f>
        <v>163.67250000000001</v>
      </c>
      <c r="W577" s="48">
        <f>ROUND((L577*J577+1.3*L577*N577+S577*G577),4)</f>
        <v>13.23</v>
      </c>
      <c r="X577" s="48">
        <f>ROUND((M577*J577+1.3*M577*N577+S577*G577),4)</f>
        <v>13.23</v>
      </c>
      <c r="Y577" s="48">
        <f>ROUND((M577*J577+1.3*M577*N577+S577*G577),4)</f>
        <v>13.23</v>
      </c>
      <c r="Z577" s="49">
        <f>ROUND((P577*T577*F577*O577/1000000),4)</f>
        <v>8.2000000000000007E-3</v>
      </c>
      <c r="AA577" s="49">
        <f>ROUND((Q577*U577*F577*O577/1000000),4)</f>
        <v>1.6000000000000001E-3</v>
      </c>
      <c r="AB577" s="49">
        <f>ROUND((R577*V577*F577*O577/1000000),4)</f>
        <v>0</v>
      </c>
      <c r="AC577" s="50" t="s">
        <v>200</v>
      </c>
      <c r="AD577" s="51" t="s">
        <v>153</v>
      </c>
      <c r="AE577" s="44">
        <f>ROUND((((X577*E577)/1800)*0.8),4)</f>
        <v>5.8999999999999999E-3</v>
      </c>
      <c r="AF577" s="44">
        <f>ROUND(((Z577+AA577+AB577)*0.8),4)</f>
        <v>7.7999999999999996E-3</v>
      </c>
      <c r="AG577" s="88"/>
      <c r="AH577" s="88"/>
    </row>
    <row r="578" spans="1:34" ht="12.95" customHeight="1" x14ac:dyDescent="0.25">
      <c r="A578" s="52"/>
      <c r="B578" s="53" t="s">
        <v>224</v>
      </c>
      <c r="C578" s="52"/>
      <c r="D578" s="52"/>
      <c r="E578" s="52"/>
      <c r="F578" s="63"/>
      <c r="G578" s="52"/>
      <c r="H578" s="52"/>
      <c r="I578" s="52"/>
      <c r="J578" s="52"/>
      <c r="K578" s="52"/>
      <c r="L578" s="56"/>
      <c r="M578" s="56"/>
      <c r="N578" s="52"/>
      <c r="O578" s="52"/>
      <c r="P578" s="52"/>
      <c r="Q578" s="52"/>
      <c r="R578" s="52"/>
      <c r="S578" s="57"/>
      <c r="T578" s="54"/>
      <c r="U578" s="54"/>
      <c r="V578" s="54"/>
      <c r="W578" s="54"/>
      <c r="X578" s="54"/>
      <c r="Y578" s="54"/>
      <c r="Z578" s="54"/>
      <c r="AA578" s="54"/>
      <c r="AB578" s="54"/>
      <c r="AC578" s="50" t="s">
        <v>201</v>
      </c>
      <c r="AD578" s="51" t="s">
        <v>202</v>
      </c>
      <c r="AE578" s="44">
        <f>ROUND((((X577*E577)/1800)*0.13),4)</f>
        <v>1E-3</v>
      </c>
      <c r="AF578" s="44">
        <f>ROUND(((Z577+AA577+AB577)*0.13),4)</f>
        <v>1.2999999999999999E-3</v>
      </c>
      <c r="AG578" s="88"/>
      <c r="AH578" s="88"/>
    </row>
    <row r="579" spans="1:34" ht="12.95" customHeight="1" x14ac:dyDescent="0.25">
      <c r="A579" s="52"/>
      <c r="B579" s="88"/>
      <c r="C579" s="55"/>
      <c r="D579" s="55"/>
      <c r="E579" s="52"/>
      <c r="F579" s="63"/>
      <c r="G579" s="52"/>
      <c r="H579" s="52"/>
      <c r="I579" s="52"/>
      <c r="J579" s="52"/>
      <c r="K579" s="52"/>
      <c r="L579" s="59">
        <v>0.8</v>
      </c>
      <c r="M579" s="59">
        <v>0.98</v>
      </c>
      <c r="N579" s="52"/>
      <c r="O579" s="52"/>
      <c r="P579" s="52"/>
      <c r="Q579" s="52"/>
      <c r="R579" s="52"/>
      <c r="S579" s="60">
        <v>1.7999999999999999E-2</v>
      </c>
      <c r="T579" s="48">
        <f>ROUND((L579*I577+1.3*L579*K577+S579*H577),4)</f>
        <v>270.48</v>
      </c>
      <c r="U579" s="48">
        <f>ROUND((M579*0.9*I577+1.3*M579*0.9*K577+S579*H577),4)</f>
        <v>298.09350000000001</v>
      </c>
      <c r="V579" s="48">
        <f>ROUND((M579*I577+1.3*M579*K577+S579*H577),4)</f>
        <v>331.09500000000003</v>
      </c>
      <c r="W579" s="48">
        <f>ROUND((L579*J577+1.3*L579*N577+S579*G577),4)</f>
        <v>21.707999999999998</v>
      </c>
      <c r="X579" s="48">
        <f>ROUND((M579*0.9*J577+1.3*M579*0.9*N577+S579*G577),4)</f>
        <v>23.922000000000001</v>
      </c>
      <c r="Y579" s="48">
        <f>ROUND((M579*J577+1.3*M579*N577+S579*G577),4)</f>
        <v>26.568000000000001</v>
      </c>
      <c r="Z579" s="49">
        <f>ROUND((P577*T579*F577*O577/1000000),4)</f>
        <v>1.35E-2</v>
      </c>
      <c r="AA579" s="49">
        <f>ROUND((Q577*U579*F577*O577/1000000),4)</f>
        <v>3.0000000000000001E-3</v>
      </c>
      <c r="AB579" s="49">
        <f>ROUND((R577*V579*F577*O577/1000000),4)</f>
        <v>0</v>
      </c>
      <c r="AC579" s="50" t="s">
        <v>203</v>
      </c>
      <c r="AD579" s="51" t="s">
        <v>204</v>
      </c>
      <c r="AE579" s="44">
        <f>ROUND((((X579*E577)/1800)),4)</f>
        <v>1.3299999999999999E-2</v>
      </c>
      <c r="AF579" s="44">
        <f>ROUND(((Z579+AA579+AB579)),5)</f>
        <v>1.6500000000000001E-2</v>
      </c>
      <c r="AG579" s="88"/>
      <c r="AH579" s="88"/>
    </row>
    <row r="580" spans="1:34" ht="12.95" customHeight="1" x14ac:dyDescent="0.25">
      <c r="A580" s="52"/>
      <c r="B580" s="88"/>
      <c r="C580" s="52"/>
      <c r="D580" s="52"/>
      <c r="E580" s="52"/>
      <c r="F580" s="63"/>
      <c r="G580" s="52"/>
      <c r="H580" s="52"/>
      <c r="I580" s="52"/>
      <c r="J580" s="52"/>
      <c r="K580" s="52"/>
      <c r="L580" s="59">
        <v>0.08</v>
      </c>
      <c r="M580" s="59">
        <v>0.1</v>
      </c>
      <c r="N580" s="52"/>
      <c r="O580" s="52"/>
      <c r="P580" s="52"/>
      <c r="Q580" s="52"/>
      <c r="R580" s="52"/>
      <c r="S580" s="61">
        <v>0.06</v>
      </c>
      <c r="T580" s="48">
        <f>ROUND((L580*I577+1.3*L580*K577+S580*H577),4)</f>
        <v>30.54</v>
      </c>
      <c r="U580" s="48">
        <f>ROUND((M580*0.9*I577+1.3*M580*0.9*K577+S580*H577),4)</f>
        <v>33.907499999999999</v>
      </c>
      <c r="V580" s="48">
        <f>ROUND((M580*I577+1.3*M580*K577+S580*H577),4)</f>
        <v>37.274999999999999</v>
      </c>
      <c r="W580" s="48">
        <f>ROUND((L580*J577+1.3*L580*N577+S580*G577),4)</f>
        <v>2.52</v>
      </c>
      <c r="X580" s="48">
        <f>ROUND((M580*0.9*J577+1.3*M580*0.9*N577+S580*G577),4)</f>
        <v>2.79</v>
      </c>
      <c r="Y580" s="48">
        <f>ROUND((M580*J577+1.3*N577+S580*G577),4)</f>
        <v>14.76</v>
      </c>
      <c r="Z580" s="49">
        <f>ROUND((P577*T580*F577*O577/1000000),4)</f>
        <v>1.5E-3</v>
      </c>
      <c r="AA580" s="49">
        <f>ROUND((Q577*U580*F577*O577/1000000),4)</f>
        <v>2.9999999999999997E-4</v>
      </c>
      <c r="AB580" s="49">
        <f>ROUND((R577*V580*F577*O577/1000000),4)</f>
        <v>0</v>
      </c>
      <c r="AC580" s="50" t="s">
        <v>205</v>
      </c>
      <c r="AD580" s="51" t="s">
        <v>206</v>
      </c>
      <c r="AE580" s="44">
        <f>ROUND((((X580*E577)/1800)),4)</f>
        <v>1.6000000000000001E-3</v>
      </c>
      <c r="AF580" s="44">
        <f>ROUND(((Z580+AA580+AB580)),4)</f>
        <v>1.8E-3</v>
      </c>
      <c r="AG580" s="88"/>
      <c r="AH580" s="88"/>
    </row>
    <row r="581" spans="1:34" ht="12.95" customHeight="1" x14ac:dyDescent="0.25">
      <c r="A581" s="52"/>
      <c r="B581" s="53"/>
      <c r="C581" s="52"/>
      <c r="D581" s="52"/>
      <c r="E581" s="52"/>
      <c r="F581" s="63"/>
      <c r="G581" s="52"/>
      <c r="H581" s="52"/>
      <c r="I581" s="52"/>
      <c r="J581" s="52"/>
      <c r="K581" s="52"/>
      <c r="L581" s="59">
        <v>0.05</v>
      </c>
      <c r="M581" s="59">
        <v>7.0000000000000007E-2</v>
      </c>
      <c r="N581" s="52"/>
      <c r="O581" s="52"/>
      <c r="P581" s="52"/>
      <c r="Q581" s="52"/>
      <c r="R581" s="52"/>
      <c r="S581" s="61">
        <v>0.01</v>
      </c>
      <c r="T581" s="48">
        <f>ROUND((L581*I577+1.3*L581*K577+S581*H577),4)</f>
        <v>17.4375</v>
      </c>
      <c r="U581" s="48">
        <f>ROUND((M581*0.9*I577+1.3*M581*0.9*K577+S581*H577),4)</f>
        <v>21.815300000000001</v>
      </c>
      <c r="V581" s="48">
        <f>ROUND((M581*I577+1.3*M581*K577+S581*H577),4)</f>
        <v>24.172499999999999</v>
      </c>
      <c r="W581" s="48">
        <f>ROUND((L581*J577+1.3*L581*N577+S581*G577),4)</f>
        <v>1.41</v>
      </c>
      <c r="X581" s="48">
        <f>ROUND((M581*0.9*J577+1.3*M581*0.9*N577+S581*G577),4)</f>
        <v>1.7609999999999999</v>
      </c>
      <c r="Y581" s="48">
        <f>ROUND((M581*J577+1.3*M581*N577+S581*G577),4)</f>
        <v>1.95</v>
      </c>
      <c r="Z581" s="49">
        <f>ROUND((P577*T581*F577*O577/1000000),4)</f>
        <v>8.9999999999999998E-4</v>
      </c>
      <c r="AA581" s="49">
        <f>ROUND((Q577*U581*F577*O577/1000000),4)</f>
        <v>2.0000000000000001E-4</v>
      </c>
      <c r="AB581" s="49">
        <f>ROUND((R577*V581*F577*O577/1000000),4)</f>
        <v>0</v>
      </c>
      <c r="AC581" s="50" t="s">
        <v>250</v>
      </c>
      <c r="AD581" s="51" t="s">
        <v>208</v>
      </c>
      <c r="AE581" s="44">
        <f>ROUND((((X581*E577)/1800)),4)</f>
        <v>1E-3</v>
      </c>
      <c r="AF581" s="44">
        <f>ROUND(((Z581+AA581+AB581)),4)</f>
        <v>1.1000000000000001E-3</v>
      </c>
      <c r="AG581" s="88"/>
      <c r="AH581" s="88"/>
    </row>
    <row r="582" spans="1:34" ht="12.95" customHeight="1" x14ac:dyDescent="0.25">
      <c r="A582" s="52"/>
      <c r="B582" s="62"/>
      <c r="C582" s="56"/>
      <c r="D582" s="56"/>
      <c r="E582" s="56"/>
      <c r="F582" s="66"/>
      <c r="G582" s="56"/>
      <c r="H582" s="56"/>
      <c r="I582" s="56"/>
      <c r="J582" s="56"/>
      <c r="K582" s="56"/>
      <c r="L582" s="59">
        <v>3.5999999999999997E-2</v>
      </c>
      <c r="M582" s="59">
        <v>4.3999999999999997E-2</v>
      </c>
      <c r="N582" s="56"/>
      <c r="O582" s="56"/>
      <c r="P582" s="56"/>
      <c r="Q582" s="56"/>
      <c r="R582" s="56"/>
      <c r="S582" s="61">
        <v>0.45</v>
      </c>
      <c r="T582" s="48">
        <f>ROUND((L582*I577+1.3*L582*K577+S582*H577),4)</f>
        <v>39.122999999999998</v>
      </c>
      <c r="U582" s="48">
        <f>ROUND((M582*0.9*I577+1.3*M582*0.9*K577+S582*H577),4)</f>
        <v>40.335299999999997</v>
      </c>
      <c r="V582" s="48">
        <f>ROUND((M582*I577+1.3*M582*K577+S582*H577),4)</f>
        <v>41.817</v>
      </c>
      <c r="W582" s="48">
        <f>ROUND((L582*J577+1.3*L582*N577+S582*G577),4)</f>
        <v>3.6720000000000002</v>
      </c>
      <c r="X582" s="48">
        <f>ROUND((M582*0.9*J577+1.3*M582*0.9*N577+S582*G577),4)</f>
        <v>3.7692000000000001</v>
      </c>
      <c r="Y582" s="48">
        <f>ROUND((M582*J577+1.3*M582*N577+S582*G577),4)</f>
        <v>3.8879999999999999</v>
      </c>
      <c r="Z582" s="49">
        <f>ROUND((P577*T582*F577*O577/1000000),4)</f>
        <v>2E-3</v>
      </c>
      <c r="AA582" s="49">
        <f>ROUND((Q577*U582*F577*O577/1000000),4)</f>
        <v>4.0000000000000002E-4</v>
      </c>
      <c r="AB582" s="49">
        <f>ROUND((R577*V582*F577*O577/1000000),4)</f>
        <v>0</v>
      </c>
      <c r="AC582" s="50" t="s">
        <v>170</v>
      </c>
      <c r="AD582" s="51" t="s">
        <v>162</v>
      </c>
      <c r="AE582" s="44">
        <f>ROUND((((X582*E577)/1800)),4)</f>
        <v>2.0999999999999999E-3</v>
      </c>
      <c r="AF582" s="44">
        <f>ROUND(((Z582+AA582+AB582)),4)</f>
        <v>2.3999999999999998E-3</v>
      </c>
      <c r="AG582" s="88"/>
      <c r="AH582" s="88"/>
    </row>
    <row r="583" spans="1:34" ht="12.95" customHeight="1" x14ac:dyDescent="0.25">
      <c r="A583" s="89"/>
      <c r="B583" s="46" t="s">
        <v>231</v>
      </c>
      <c r="C583" s="46">
        <v>6</v>
      </c>
      <c r="D583" s="45" t="s">
        <v>210</v>
      </c>
      <c r="E583" s="45">
        <v>1</v>
      </c>
      <c r="F583" s="45">
        <v>1</v>
      </c>
      <c r="G583" s="45">
        <v>6</v>
      </c>
      <c r="H583" s="45">
        <v>60</v>
      </c>
      <c r="I583" s="45">
        <f>(8-1-0.75*2)*60*F583-K583-8*0.12*60</f>
        <v>57.900000000000006</v>
      </c>
      <c r="J583" s="45">
        <v>14</v>
      </c>
      <c r="K583" s="45">
        <f>(8-1-0.75*2)*0.65*60*F583</f>
        <v>214.5</v>
      </c>
      <c r="L583" s="48">
        <v>6.47</v>
      </c>
      <c r="M583" s="48">
        <v>6.47</v>
      </c>
      <c r="N583" s="45">
        <v>10</v>
      </c>
      <c r="O583" s="45">
        <f>E583/F583</f>
        <v>1</v>
      </c>
      <c r="P583" s="45">
        <v>10</v>
      </c>
      <c r="Q583" s="45">
        <v>0</v>
      </c>
      <c r="R583" s="47">
        <v>0</v>
      </c>
      <c r="S583" s="47">
        <v>1.27</v>
      </c>
      <c r="T583" s="48">
        <f>ROUND((L583*I583+1.3*L583*K583+S583*H583),4)</f>
        <v>2254.9724999999999</v>
      </c>
      <c r="U583" s="48">
        <f>ROUND((M583*I583+1.3*M583*K583+S583*H583),4)</f>
        <v>2254.9724999999999</v>
      </c>
      <c r="V583" s="48">
        <f>ROUND((M583*I583+1.3*M583*K583+S583*H583),4)</f>
        <v>2254.9724999999999</v>
      </c>
      <c r="W583" s="48">
        <f>ROUND((L583*J583+1.3*L583*N583+S583*G583),4)</f>
        <v>182.31</v>
      </c>
      <c r="X583" s="48">
        <f>ROUND((M583*J583+1.3*M583*N583+S583*G583),4)</f>
        <v>182.31</v>
      </c>
      <c r="Y583" s="48">
        <f>ROUND((M583*J583+1.3*M583*N583+S583*G583),4)</f>
        <v>182.31</v>
      </c>
      <c r="Z583" s="49">
        <f>ROUND((P583*T583*F583*O583/1000000),4)</f>
        <v>2.2499999999999999E-2</v>
      </c>
      <c r="AA583" s="49">
        <f>ROUND((Q583*U583*F583*O583/1000000),4)</f>
        <v>0</v>
      </c>
      <c r="AB583" s="49">
        <f>ROUND((R583*V583*F583*O583/1000000),4)</f>
        <v>0</v>
      </c>
      <c r="AC583" s="50" t="s">
        <v>200</v>
      </c>
      <c r="AD583" s="51" t="s">
        <v>153</v>
      </c>
      <c r="AE583" s="44">
        <f>ROUND((((X583*E583)/1800)*0.8),4)</f>
        <v>8.1000000000000003E-2</v>
      </c>
      <c r="AF583" s="44">
        <f>ROUND(((Z583+AA583+AB583)*0.8),4)</f>
        <v>1.7999999999999999E-2</v>
      </c>
      <c r="AG583" s="88"/>
      <c r="AH583" s="88"/>
    </row>
    <row r="584" spans="1:34" ht="12.95" customHeight="1" x14ac:dyDescent="0.25">
      <c r="A584" s="89"/>
      <c r="B584" s="53" t="s">
        <v>232</v>
      </c>
      <c r="C584" s="52"/>
      <c r="D584" s="52"/>
      <c r="E584" s="52"/>
      <c r="F584" s="63"/>
      <c r="G584" s="52"/>
      <c r="H584" s="52"/>
      <c r="I584" s="52"/>
      <c r="J584" s="52"/>
      <c r="K584" s="52"/>
      <c r="L584" s="56"/>
      <c r="M584" s="56"/>
      <c r="N584" s="52"/>
      <c r="O584" s="52"/>
      <c r="P584" s="52"/>
      <c r="Q584" s="52"/>
      <c r="R584" s="52"/>
      <c r="S584" s="57"/>
      <c r="T584" s="54"/>
      <c r="U584" s="54"/>
      <c r="V584" s="54"/>
      <c r="W584" s="54"/>
      <c r="X584" s="54"/>
      <c r="Y584" s="54"/>
      <c r="Z584" s="54"/>
      <c r="AA584" s="54"/>
      <c r="AB584" s="54"/>
      <c r="AC584" s="50" t="s">
        <v>201</v>
      </c>
      <c r="AD584" s="51" t="s">
        <v>202</v>
      </c>
      <c r="AE584" s="44">
        <f>ROUND((((X583*E583)/1800)*0.13),4)</f>
        <v>1.32E-2</v>
      </c>
      <c r="AF584" s="44">
        <f>ROUND(((Z583+AA583+AB583)*0.13),4)</f>
        <v>2.8999999999999998E-3</v>
      </c>
      <c r="AG584" s="88"/>
      <c r="AH584" s="88"/>
    </row>
    <row r="585" spans="1:34" ht="12.95" customHeight="1" x14ac:dyDescent="0.25">
      <c r="A585" s="89"/>
      <c r="B585" s="67"/>
      <c r="C585" s="55"/>
      <c r="D585" s="55"/>
      <c r="E585" s="52"/>
      <c r="F585" s="63"/>
      <c r="G585" s="52"/>
      <c r="H585" s="52"/>
      <c r="I585" s="52"/>
      <c r="J585" s="52"/>
      <c r="K585" s="52"/>
      <c r="L585" s="59">
        <v>0.51</v>
      </c>
      <c r="M585" s="59">
        <v>0.63</v>
      </c>
      <c r="N585" s="52"/>
      <c r="O585" s="52"/>
      <c r="P585" s="52"/>
      <c r="Q585" s="52"/>
      <c r="R585" s="52"/>
      <c r="S585" s="60">
        <v>0.25</v>
      </c>
      <c r="T585" s="48">
        <f>ROUND((L585*I583+1.3*L585*K583+S585*H583),4)</f>
        <v>186.74250000000001</v>
      </c>
      <c r="U585" s="48">
        <f>ROUND((M585*0.9*I583+1.3*M585*0.9*K583+S585*H583),4)</f>
        <v>205.93729999999999</v>
      </c>
      <c r="V585" s="48">
        <f>ROUND((M585*I583+1.3*M585*K583+S585*H583),4)</f>
        <v>227.1525</v>
      </c>
      <c r="W585" s="48">
        <f>ROUND((L585*J583+1.3*L585*N583+S585*G583),4)</f>
        <v>15.27</v>
      </c>
      <c r="X585" s="48">
        <f>ROUND((M585*0.9*J583+1.3*M585*0.9*N583+S585*G583),4)</f>
        <v>16.809000000000001</v>
      </c>
      <c r="Y585" s="48">
        <f>ROUND((M585*J583+1.3*M585*N583+S585*G583),4)</f>
        <v>18.510000000000002</v>
      </c>
      <c r="Z585" s="49">
        <f>ROUND((P583*T585*F583*O583/1000000),4)</f>
        <v>1.9E-3</v>
      </c>
      <c r="AA585" s="49">
        <f>ROUND((Q583*U585*F583*O583/1000000),4)</f>
        <v>0</v>
      </c>
      <c r="AB585" s="49">
        <f>ROUND((R583*V585*F583*O583/1000000),4)</f>
        <v>0</v>
      </c>
      <c r="AC585" s="50" t="s">
        <v>203</v>
      </c>
      <c r="AD585" s="51" t="s">
        <v>204</v>
      </c>
      <c r="AE585" s="44">
        <f>ROUND((((X585*E583)/1800)),4)</f>
        <v>9.2999999999999992E-3</v>
      </c>
      <c r="AF585" s="44">
        <f>ROUND(((Z585+AA585+AB585)),5)</f>
        <v>1.9E-3</v>
      </c>
      <c r="AG585" s="88"/>
      <c r="AH585" s="88"/>
    </row>
    <row r="586" spans="1:34" ht="12.95" customHeight="1" x14ac:dyDescent="0.25">
      <c r="A586" s="89"/>
      <c r="B586" s="53"/>
      <c r="C586" s="52"/>
      <c r="D586" s="52"/>
      <c r="E586" s="52"/>
      <c r="F586" s="63"/>
      <c r="G586" s="52"/>
      <c r="H586" s="52"/>
      <c r="I586" s="52"/>
      <c r="J586" s="52"/>
      <c r="K586" s="52"/>
      <c r="L586" s="59">
        <v>1.1399999999999999</v>
      </c>
      <c r="M586" s="59">
        <v>1.37</v>
      </c>
      <c r="N586" s="52"/>
      <c r="O586" s="52"/>
      <c r="P586" s="52"/>
      <c r="Q586" s="52"/>
      <c r="R586" s="52"/>
      <c r="S586" s="61">
        <v>0.79</v>
      </c>
      <c r="T586" s="48">
        <f>ROUND((L586*I583+1.3*L586*K583+S586*H583),4)</f>
        <v>431.29500000000002</v>
      </c>
      <c r="U586" s="48">
        <f>ROUND((M586*0.9*I583+1.3*M586*0.9*K583+S586*H583),4)</f>
        <v>462.61279999999999</v>
      </c>
      <c r="V586" s="48">
        <f>ROUND((M586*I583+1.3*M586*K583+S586*H583),4)</f>
        <v>508.7475</v>
      </c>
      <c r="W586" s="48">
        <f>ROUND((L586*J583+1.3*L586*N583+S586*G583),4)</f>
        <v>35.520000000000003</v>
      </c>
      <c r="X586" s="48">
        <f>ROUND((M586*0.9*J583+1.3*M586*0.9*N583+S586*G583),4)</f>
        <v>38.030999999999999</v>
      </c>
      <c r="Y586" s="48">
        <f>ROUND((M586*J583+1.3*N583+S586*G583),4)</f>
        <v>36.92</v>
      </c>
      <c r="Z586" s="49">
        <f>ROUND((P583*T586*F583*O583/1000000),4)</f>
        <v>4.3E-3</v>
      </c>
      <c r="AA586" s="49">
        <f>ROUND((Q583*U586*F583*O583/1000000),4)</f>
        <v>0</v>
      </c>
      <c r="AB586" s="49">
        <f>ROUND((R583*V586*F583*O583/1000000),4)</f>
        <v>0</v>
      </c>
      <c r="AC586" s="50" t="s">
        <v>205</v>
      </c>
      <c r="AD586" s="51" t="s">
        <v>206</v>
      </c>
      <c r="AE586" s="44">
        <f>ROUND((((X586*E583)/1800)),4)</f>
        <v>2.1100000000000001E-2</v>
      </c>
      <c r="AF586" s="44">
        <f>ROUND(((Z586+AA586+AB586)),4)</f>
        <v>4.3E-3</v>
      </c>
      <c r="AG586" s="88"/>
      <c r="AH586" s="88"/>
    </row>
    <row r="587" spans="1:34" ht="12.95" customHeight="1" x14ac:dyDescent="0.25">
      <c r="A587" s="89"/>
      <c r="B587" s="53"/>
      <c r="C587" s="52"/>
      <c r="D587" s="52"/>
      <c r="E587" s="52"/>
      <c r="F587" s="63"/>
      <c r="G587" s="52"/>
      <c r="H587" s="52"/>
      <c r="I587" s="52"/>
      <c r="J587" s="52"/>
      <c r="K587" s="52"/>
      <c r="L587" s="59">
        <v>0.72</v>
      </c>
      <c r="M587" s="59">
        <v>1.08</v>
      </c>
      <c r="N587" s="52"/>
      <c r="O587" s="52"/>
      <c r="P587" s="52"/>
      <c r="Q587" s="52"/>
      <c r="R587" s="52"/>
      <c r="S587" s="61">
        <v>0.17</v>
      </c>
      <c r="T587" s="48">
        <f>ROUND((L587*I583+1.3*L587*K583+S587*H583),4)</f>
        <v>252.66</v>
      </c>
      <c r="U587" s="48">
        <f>ROUND((M587*0.9*I583+1.3*M587*0.9*K583+S587*H583),4)</f>
        <v>337.52100000000002</v>
      </c>
      <c r="V587" s="48">
        <f>ROUND((M587*I583+1.3*M587*K583+S587*H583),4)</f>
        <v>373.89</v>
      </c>
      <c r="W587" s="48">
        <f>ROUND((L587*J583+1.3*L587*N583+S587*G583),4)</f>
        <v>20.46</v>
      </c>
      <c r="X587" s="48">
        <f>ROUND((M587*0.9*J583+1.3*M587*0.9*N583+S587*G583),4)</f>
        <v>27.263999999999999</v>
      </c>
      <c r="Y587" s="48">
        <f>ROUND((M587*J583+1.3*M587*N583+S587*G583),4)</f>
        <v>30.18</v>
      </c>
      <c r="Z587" s="49">
        <f>ROUND((P583*T587*F583*O583/1000000),4)</f>
        <v>2.5000000000000001E-3</v>
      </c>
      <c r="AA587" s="49">
        <f>ROUND((Q583*U587*F583*O583/1000000),4)</f>
        <v>0</v>
      </c>
      <c r="AB587" s="49">
        <f>ROUND((R583*V587*F583*O583/1000000),4)</f>
        <v>0</v>
      </c>
      <c r="AC587" s="50" t="s">
        <v>250</v>
      </c>
      <c r="AD587" s="51" t="s">
        <v>208</v>
      </c>
      <c r="AE587" s="44">
        <f>ROUND((((X587*E583)/1800)),4)</f>
        <v>1.5100000000000001E-2</v>
      </c>
      <c r="AF587" s="44">
        <f>ROUND(((Z587+AA587+AB587)),4)</f>
        <v>2.5000000000000001E-3</v>
      </c>
      <c r="AG587" s="88"/>
      <c r="AH587" s="88"/>
    </row>
    <row r="588" spans="1:34" ht="12.95" customHeight="1" x14ac:dyDescent="0.25">
      <c r="A588" s="89"/>
      <c r="B588" s="62"/>
      <c r="C588" s="56"/>
      <c r="D588" s="56"/>
      <c r="E588" s="56"/>
      <c r="F588" s="66"/>
      <c r="G588" s="56"/>
      <c r="H588" s="56"/>
      <c r="I588" s="56"/>
      <c r="J588" s="56"/>
      <c r="K588" s="56"/>
      <c r="L588" s="59">
        <v>3.37</v>
      </c>
      <c r="M588" s="59">
        <v>4.1100000000000003</v>
      </c>
      <c r="N588" s="56"/>
      <c r="O588" s="56"/>
      <c r="P588" s="56"/>
      <c r="Q588" s="56"/>
      <c r="R588" s="56"/>
      <c r="S588" s="61">
        <v>6.31</v>
      </c>
      <c r="T588" s="48">
        <f>ROUND((L588*I583+1.3*L588*K583+S588*H583),4)</f>
        <v>1513.4475</v>
      </c>
      <c r="U588" s="48">
        <f>ROUND((M588*0.9*I583+1.3*M588*0.9*K583+S588*H583),4)</f>
        <v>1624.2383</v>
      </c>
      <c r="V588" s="48">
        <f>ROUND((M588*I583+1.3*M588*K583+S588*H583),4)</f>
        <v>1762.6424999999999</v>
      </c>
      <c r="W588" s="48">
        <f>ROUND((L588*J583+1.3*L588*N583+S588*G583),4)</f>
        <v>128.85</v>
      </c>
      <c r="X588" s="48">
        <f>ROUND((M588*0.9*J583+1.3*M588*0.9*N583+S588*G583),4)</f>
        <v>137.733</v>
      </c>
      <c r="Y588" s="48">
        <f>ROUND((M588*J583+1.3*M588*N583+S588*G583),4)</f>
        <v>148.83000000000001</v>
      </c>
      <c r="Z588" s="49">
        <f>ROUND((P583*T588*F583*O583/1000000),4)</f>
        <v>1.5100000000000001E-2</v>
      </c>
      <c r="AA588" s="49">
        <f>ROUND((Q583*U588*F583*O583/1000000),4)</f>
        <v>0</v>
      </c>
      <c r="AB588" s="49">
        <f>ROUND((R583*V588*F583*O583/1000000),4)</f>
        <v>0</v>
      </c>
      <c r="AC588" s="50" t="s">
        <v>170</v>
      </c>
      <c r="AD588" s="51" t="s">
        <v>162</v>
      </c>
      <c r="AE588" s="44">
        <f>ROUND((((X588*E583)/1800)),4)</f>
        <v>7.6499999999999999E-2</v>
      </c>
      <c r="AF588" s="44">
        <f>ROUND(((Z588+AA588+AB588)),4)</f>
        <v>1.5100000000000001E-2</v>
      </c>
      <c r="AG588" s="88"/>
      <c r="AH588" s="88"/>
    </row>
    <row r="589" spans="1:34" ht="12.95" customHeight="1" x14ac:dyDescent="0.25">
      <c r="A589" s="89"/>
      <c r="B589" s="46" t="s">
        <v>234</v>
      </c>
      <c r="C589" s="46">
        <v>6</v>
      </c>
      <c r="D589" s="45" t="s">
        <v>210</v>
      </c>
      <c r="E589" s="45">
        <v>1</v>
      </c>
      <c r="F589" s="45">
        <v>1</v>
      </c>
      <c r="G589" s="45">
        <v>6</v>
      </c>
      <c r="H589" s="45">
        <v>60</v>
      </c>
      <c r="I589" s="45">
        <f>(8-1-0.75*2)*60*F589-K589-8*0.12*60</f>
        <v>57.900000000000006</v>
      </c>
      <c r="J589" s="45">
        <v>14</v>
      </c>
      <c r="K589" s="45">
        <f>(8-1-0.75*2)*0.65*60*F589</f>
        <v>214.5</v>
      </c>
      <c r="L589" s="48">
        <v>6.47</v>
      </c>
      <c r="M589" s="48">
        <v>6.47</v>
      </c>
      <c r="N589" s="45">
        <v>10</v>
      </c>
      <c r="O589" s="45">
        <f>E589/F589</f>
        <v>1</v>
      </c>
      <c r="P589" s="45">
        <v>30</v>
      </c>
      <c r="Q589" s="45">
        <v>0</v>
      </c>
      <c r="R589" s="47">
        <v>0</v>
      </c>
      <c r="S589" s="47">
        <v>1.27</v>
      </c>
      <c r="T589" s="48">
        <f>ROUND((L589*I589+1.3*L589*K589+S589*H589),4)</f>
        <v>2254.9724999999999</v>
      </c>
      <c r="U589" s="48">
        <f>ROUND((M589*I589+1.3*M589*K589+S589*H589),4)</f>
        <v>2254.9724999999999</v>
      </c>
      <c r="V589" s="48">
        <f>ROUND((M589*I589+1.3*M589*K589+S589*H589),4)</f>
        <v>2254.9724999999999</v>
      </c>
      <c r="W589" s="48">
        <f>ROUND((L589*J589+1.3*L589*N589+S589*G589),4)</f>
        <v>182.31</v>
      </c>
      <c r="X589" s="48">
        <f>ROUND((M589*J589+1.3*M589*N589+S589*G589),4)</f>
        <v>182.31</v>
      </c>
      <c r="Y589" s="48">
        <f>ROUND((M589*J589+1.3*M589*N589+S589*G589),4)</f>
        <v>182.31</v>
      </c>
      <c r="Z589" s="49">
        <f>ROUND((P589*T589*F589*O589/1000000),4)</f>
        <v>6.7599999999999993E-2</v>
      </c>
      <c r="AA589" s="49">
        <f>ROUND((Q589*U589*F589*O589/1000000),4)</f>
        <v>0</v>
      </c>
      <c r="AB589" s="49">
        <f>ROUND((R589*V589*F589*O589/1000000),4)</f>
        <v>0</v>
      </c>
      <c r="AC589" s="50" t="s">
        <v>200</v>
      </c>
      <c r="AD589" s="51" t="s">
        <v>153</v>
      </c>
      <c r="AE589" s="44">
        <f>ROUND((((X589*E589)/1800)*0.8),4)</f>
        <v>8.1000000000000003E-2</v>
      </c>
      <c r="AF589" s="44">
        <f>ROUND(((Z589+AA589+AB589)*0.8),4)</f>
        <v>5.4100000000000002E-2</v>
      </c>
      <c r="AG589" s="88"/>
      <c r="AH589" s="88"/>
    </row>
    <row r="590" spans="1:34" ht="12.95" customHeight="1" x14ac:dyDescent="0.25">
      <c r="A590" s="89"/>
      <c r="B590" s="53" t="s">
        <v>235</v>
      </c>
      <c r="C590" s="52"/>
      <c r="D590" s="52"/>
      <c r="E590" s="52"/>
      <c r="F590" s="63"/>
      <c r="G590" s="52"/>
      <c r="H590" s="52"/>
      <c r="I590" s="52"/>
      <c r="J590" s="52"/>
      <c r="K590" s="52"/>
      <c r="L590" s="56"/>
      <c r="M590" s="56"/>
      <c r="N590" s="52"/>
      <c r="O590" s="52"/>
      <c r="P590" s="52"/>
      <c r="Q590" s="52"/>
      <c r="R590" s="52"/>
      <c r="S590" s="57"/>
      <c r="T590" s="54"/>
      <c r="U590" s="54"/>
      <c r="V590" s="54"/>
      <c r="W590" s="54"/>
      <c r="X590" s="54"/>
      <c r="Y590" s="54"/>
      <c r="Z590" s="54"/>
      <c r="AA590" s="54"/>
      <c r="AB590" s="54"/>
      <c r="AC590" s="50" t="s">
        <v>201</v>
      </c>
      <c r="AD590" s="51" t="s">
        <v>202</v>
      </c>
      <c r="AE590" s="44">
        <f>ROUND((((X589*E589)/1800)*0.13),4)</f>
        <v>1.32E-2</v>
      </c>
      <c r="AF590" s="44">
        <f>ROUND(((Z589+AA589+AB589)*0.13),4)</f>
        <v>8.8000000000000005E-3</v>
      </c>
      <c r="AG590" s="88"/>
      <c r="AH590" s="88"/>
    </row>
    <row r="591" spans="1:34" ht="12.95" customHeight="1" x14ac:dyDescent="0.25">
      <c r="A591" s="89"/>
      <c r="B591" s="67"/>
      <c r="C591" s="55"/>
      <c r="D591" s="55"/>
      <c r="E591" s="52"/>
      <c r="F591" s="63"/>
      <c r="G591" s="52"/>
      <c r="H591" s="52"/>
      <c r="I591" s="52"/>
      <c r="J591" s="52"/>
      <c r="K591" s="52"/>
      <c r="L591" s="59">
        <v>0.51</v>
      </c>
      <c r="M591" s="59">
        <v>0.63</v>
      </c>
      <c r="N591" s="52"/>
      <c r="O591" s="52"/>
      <c r="P591" s="52"/>
      <c r="Q591" s="52"/>
      <c r="R591" s="52"/>
      <c r="S591" s="60">
        <v>0.25</v>
      </c>
      <c r="T591" s="48">
        <f>ROUND((L591*I589+1.3*L591*K589+S591*H589),4)</f>
        <v>186.74250000000001</v>
      </c>
      <c r="U591" s="48">
        <f>ROUND((M591*0.9*I589+1.3*M591*0.9*K589+S591*H589),4)</f>
        <v>205.93729999999999</v>
      </c>
      <c r="V591" s="48">
        <f>ROUND((M591*I589+1.3*M591*K589+S591*H589),4)</f>
        <v>227.1525</v>
      </c>
      <c r="W591" s="48">
        <f>ROUND((L591*J589+1.3*L591*N589+S591*G589),4)</f>
        <v>15.27</v>
      </c>
      <c r="X591" s="48">
        <f>ROUND((M591*0.9*J589+1.3*M591*0.9*N589+S591*G589),4)</f>
        <v>16.809000000000001</v>
      </c>
      <c r="Y591" s="48">
        <f>ROUND((M591*J589+1.3*M591*N589+S591*G589),4)</f>
        <v>18.510000000000002</v>
      </c>
      <c r="Z591" s="49">
        <f>ROUND((P589*T591*F589*O589/1000000),4)</f>
        <v>5.5999999999999999E-3</v>
      </c>
      <c r="AA591" s="49">
        <f>ROUND((Q589*U591*F589*O589/1000000),4)</f>
        <v>0</v>
      </c>
      <c r="AB591" s="49">
        <f>ROUND((R589*V591*F589*O589/1000000),4)</f>
        <v>0</v>
      </c>
      <c r="AC591" s="50" t="s">
        <v>203</v>
      </c>
      <c r="AD591" s="51" t="s">
        <v>204</v>
      </c>
      <c r="AE591" s="44">
        <f>ROUND((((X591*E589)/1800)),4)</f>
        <v>9.2999999999999992E-3</v>
      </c>
      <c r="AF591" s="44">
        <f>ROUND(((Z591+AA591+AB591)),5)</f>
        <v>5.5999999999999999E-3</v>
      </c>
      <c r="AG591" s="88"/>
      <c r="AH591" s="88"/>
    </row>
    <row r="592" spans="1:34" ht="12.95" customHeight="1" x14ac:dyDescent="0.25">
      <c r="A592" s="89"/>
      <c r="B592" s="53"/>
      <c r="C592" s="52"/>
      <c r="D592" s="52"/>
      <c r="E592" s="52"/>
      <c r="F592" s="63"/>
      <c r="G592" s="52"/>
      <c r="H592" s="52"/>
      <c r="I592" s="52"/>
      <c r="J592" s="52"/>
      <c r="K592" s="52"/>
      <c r="L592" s="59">
        <v>1.1399999999999999</v>
      </c>
      <c r="M592" s="59">
        <v>1.37</v>
      </c>
      <c r="N592" s="52"/>
      <c r="O592" s="52"/>
      <c r="P592" s="52"/>
      <c r="Q592" s="52"/>
      <c r="R592" s="52"/>
      <c r="S592" s="61">
        <v>0.79</v>
      </c>
      <c r="T592" s="48">
        <f>ROUND((L592*I589+1.3*L592*K589+S592*H589),4)</f>
        <v>431.29500000000002</v>
      </c>
      <c r="U592" s="48">
        <f>ROUND((M592*0.9*I589+1.3*M592*0.9*K589+S592*H589),4)</f>
        <v>462.61279999999999</v>
      </c>
      <c r="V592" s="48">
        <f>ROUND((M592*I589+1.3*M592*K589+S592*H589),4)</f>
        <v>508.7475</v>
      </c>
      <c r="W592" s="48">
        <f>ROUND((L592*J589+1.3*L592*N589+S592*G589),4)</f>
        <v>35.520000000000003</v>
      </c>
      <c r="X592" s="48">
        <f>ROUND((M592*0.9*J589+1.3*M592*0.9*N589+S592*G589),4)</f>
        <v>38.030999999999999</v>
      </c>
      <c r="Y592" s="48">
        <f>ROUND((M592*J589+1.3*N589+S592*G589),4)</f>
        <v>36.92</v>
      </c>
      <c r="Z592" s="49">
        <f>ROUND((P589*T592*F589*O589/1000000),4)</f>
        <v>1.29E-2</v>
      </c>
      <c r="AA592" s="49">
        <f>ROUND((Q589*U592*F589*O589/1000000),4)</f>
        <v>0</v>
      </c>
      <c r="AB592" s="49">
        <f>ROUND((R589*V592*F589*O589/1000000),4)</f>
        <v>0</v>
      </c>
      <c r="AC592" s="50" t="s">
        <v>205</v>
      </c>
      <c r="AD592" s="51" t="s">
        <v>206</v>
      </c>
      <c r="AE592" s="44">
        <f>ROUND((((X592*E589)/1800)),4)</f>
        <v>2.1100000000000001E-2</v>
      </c>
      <c r="AF592" s="44">
        <f>ROUND(((Z592+AA592+AB592)),4)</f>
        <v>1.29E-2</v>
      </c>
      <c r="AG592" s="88"/>
      <c r="AH592" s="88"/>
    </row>
    <row r="593" spans="1:34" ht="12.95" customHeight="1" x14ac:dyDescent="0.25">
      <c r="A593" s="89"/>
      <c r="B593" s="53"/>
      <c r="C593" s="52"/>
      <c r="D593" s="52"/>
      <c r="E593" s="52"/>
      <c r="F593" s="63"/>
      <c r="G593" s="52"/>
      <c r="H593" s="52"/>
      <c r="I593" s="52"/>
      <c r="J593" s="52"/>
      <c r="K593" s="52"/>
      <c r="L593" s="59">
        <v>0.72</v>
      </c>
      <c r="M593" s="59">
        <v>1.08</v>
      </c>
      <c r="N593" s="52"/>
      <c r="O593" s="52"/>
      <c r="P593" s="52"/>
      <c r="Q593" s="52"/>
      <c r="R593" s="52"/>
      <c r="S593" s="61">
        <v>0.17</v>
      </c>
      <c r="T593" s="48">
        <f>ROUND((L593*I589+1.3*L593*K589+S593*H589),4)</f>
        <v>252.66</v>
      </c>
      <c r="U593" s="48">
        <f>ROUND((M593*0.9*I589+1.3*M593*0.9*K589+S593*H589),4)</f>
        <v>337.52100000000002</v>
      </c>
      <c r="V593" s="48">
        <f>ROUND((M593*I589+1.3*M593*K589+S593*H589),4)</f>
        <v>373.89</v>
      </c>
      <c r="W593" s="48">
        <f>ROUND((L593*J589+1.3*L593*N589+S593*G589),4)</f>
        <v>20.46</v>
      </c>
      <c r="X593" s="48">
        <f>ROUND((M593*0.9*J589+1.3*M593*0.9*N589+S593*G589),4)</f>
        <v>27.263999999999999</v>
      </c>
      <c r="Y593" s="48">
        <f>ROUND((M593*J589+1.3*M593*N589+S593*G589),4)</f>
        <v>30.18</v>
      </c>
      <c r="Z593" s="49">
        <f>ROUND((P589*T593*F589*O589/1000000),4)</f>
        <v>7.6E-3</v>
      </c>
      <c r="AA593" s="49">
        <f>ROUND((Q589*U593*F589*O589/1000000),4)</f>
        <v>0</v>
      </c>
      <c r="AB593" s="49">
        <f>ROUND((R589*V593*F589*O589/1000000),4)</f>
        <v>0</v>
      </c>
      <c r="AC593" s="50" t="s">
        <v>250</v>
      </c>
      <c r="AD593" s="51" t="s">
        <v>208</v>
      </c>
      <c r="AE593" s="44">
        <f>ROUND((((X593*E589)/1800)),4)</f>
        <v>1.5100000000000001E-2</v>
      </c>
      <c r="AF593" s="44">
        <f>ROUND(((Z593+AA593+AB593)),4)</f>
        <v>7.6E-3</v>
      </c>
      <c r="AG593" s="88"/>
      <c r="AH593" s="88"/>
    </row>
    <row r="594" spans="1:34" ht="12.95" customHeight="1" x14ac:dyDescent="0.25">
      <c r="A594" s="89"/>
      <c r="B594" s="62"/>
      <c r="C594" s="56"/>
      <c r="D594" s="56"/>
      <c r="E594" s="56"/>
      <c r="F594" s="66"/>
      <c r="G594" s="56"/>
      <c r="H594" s="56"/>
      <c r="I594" s="56"/>
      <c r="J594" s="56"/>
      <c r="K594" s="56"/>
      <c r="L594" s="59">
        <v>3.37</v>
      </c>
      <c r="M594" s="59">
        <v>4.1100000000000003</v>
      </c>
      <c r="N594" s="56"/>
      <c r="O594" s="56"/>
      <c r="P594" s="56"/>
      <c r="Q594" s="56"/>
      <c r="R594" s="56"/>
      <c r="S594" s="61">
        <v>6.31</v>
      </c>
      <c r="T594" s="48">
        <f>ROUND((L594*I589+1.3*L594*K589+S594*H589),4)</f>
        <v>1513.4475</v>
      </c>
      <c r="U594" s="48">
        <f>ROUND((M594*0.9*I589+1.3*M594*0.9*K589+S594*H589),4)</f>
        <v>1624.2383</v>
      </c>
      <c r="V594" s="48">
        <f>ROUND((M594*I589+1.3*M594*K589+S594*H589),4)</f>
        <v>1762.6424999999999</v>
      </c>
      <c r="W594" s="48">
        <f>ROUND((L594*J589+1.3*L594*N589+S594*G589),4)</f>
        <v>128.85</v>
      </c>
      <c r="X594" s="48">
        <f>ROUND((M594*0.9*J589+1.3*M594*0.9*N589+S594*G589),4)</f>
        <v>137.733</v>
      </c>
      <c r="Y594" s="48">
        <f>ROUND((M594*J589+1.3*M594*N589+S594*G589),4)</f>
        <v>148.83000000000001</v>
      </c>
      <c r="Z594" s="49">
        <f>ROUND((P589*T594*F589*O589/1000000),4)</f>
        <v>4.5400000000000003E-2</v>
      </c>
      <c r="AA594" s="49">
        <f>ROUND((Q589*U594*F589*O589/1000000),4)</f>
        <v>0</v>
      </c>
      <c r="AB594" s="49">
        <f>ROUND((R589*V594*F589*O589/1000000),4)</f>
        <v>0</v>
      </c>
      <c r="AC594" s="50" t="s">
        <v>170</v>
      </c>
      <c r="AD594" s="51" t="s">
        <v>162</v>
      </c>
      <c r="AE594" s="44">
        <f>ROUND((((X594*E589)/1800)),4)</f>
        <v>7.6499999999999999E-2</v>
      </c>
      <c r="AF594" s="44">
        <f>ROUND(((Z594+AA594+AB594)),4)</f>
        <v>4.5400000000000003E-2</v>
      </c>
      <c r="AG594" s="88"/>
      <c r="AH594" s="88"/>
    </row>
    <row r="595" spans="1:34" ht="12.95" customHeight="1" x14ac:dyDescent="0.25">
      <c r="A595" s="52"/>
      <c r="B595" s="67" t="s">
        <v>220</v>
      </c>
      <c r="C595" s="46">
        <v>7</v>
      </c>
      <c r="D595" s="45" t="s">
        <v>217</v>
      </c>
      <c r="E595" s="45">
        <v>1</v>
      </c>
      <c r="F595" s="45">
        <v>1</v>
      </c>
      <c r="G595" s="45">
        <v>6</v>
      </c>
      <c r="H595" s="45">
        <v>60</v>
      </c>
      <c r="I595" s="45">
        <f>(8-1-0.75*2)*60*F595-K595-8*0.12*60</f>
        <v>57.900000000000006</v>
      </c>
      <c r="J595" s="45">
        <v>14</v>
      </c>
      <c r="K595" s="45">
        <f>(8-1-0.75*2)*0.65*60*F595</f>
        <v>214.5</v>
      </c>
      <c r="L595" s="48">
        <v>10.16</v>
      </c>
      <c r="M595" s="48">
        <v>10.16</v>
      </c>
      <c r="N595" s="45">
        <v>10</v>
      </c>
      <c r="O595" s="45">
        <f>E595/F595</f>
        <v>1</v>
      </c>
      <c r="P595" s="45">
        <v>30</v>
      </c>
      <c r="Q595" s="45">
        <v>30</v>
      </c>
      <c r="R595" s="47">
        <v>0</v>
      </c>
      <c r="S595" s="47">
        <v>1.99</v>
      </c>
      <c r="T595" s="48">
        <f>ROUND((L595*I595+1.3*L595*K595+S595*H595),4)</f>
        <v>3540.78</v>
      </c>
      <c r="U595" s="48">
        <f>ROUND((M595*I595+1.3*M595*K595+S595*H595),4)</f>
        <v>3540.78</v>
      </c>
      <c r="V595" s="48">
        <f>ROUND((M595*I595+1.3*M595*K595+S595*H595),4)</f>
        <v>3540.78</v>
      </c>
      <c r="W595" s="48">
        <f>ROUND((L595*J595+1.3*L595*N595+S595*G595),4)</f>
        <v>286.26</v>
      </c>
      <c r="X595" s="48">
        <f>ROUND((M595*J595+1.3*M595*N595+S595*G595),4)</f>
        <v>286.26</v>
      </c>
      <c r="Y595" s="48">
        <f>ROUND((M595*J595+1.3*M595*N595+S595*G595),4)</f>
        <v>286.26</v>
      </c>
      <c r="Z595" s="49">
        <f>ROUND((P595*T595*F595*O595/1000000),4)</f>
        <v>0.1062</v>
      </c>
      <c r="AA595" s="49">
        <f>ROUND((Q595*U595*F595*O595/1000000),4)</f>
        <v>0.1062</v>
      </c>
      <c r="AB595" s="49">
        <f>ROUND((R595*V595*F595*O595/1000000),4)</f>
        <v>0</v>
      </c>
      <c r="AC595" s="50" t="s">
        <v>200</v>
      </c>
      <c r="AD595" s="51" t="s">
        <v>153</v>
      </c>
      <c r="AE595" s="44">
        <f>ROUND((((X595*E595)/1800)*0.8),4)</f>
        <v>0.12720000000000001</v>
      </c>
      <c r="AF595" s="44">
        <f>ROUND(((Z595+AA595+AB595)*0.8),4)</f>
        <v>0.1699</v>
      </c>
    </row>
    <row r="596" spans="1:34" ht="12.95" customHeight="1" x14ac:dyDescent="0.25">
      <c r="A596" s="52"/>
      <c r="B596" s="53" t="s">
        <v>221</v>
      </c>
      <c r="C596" s="52"/>
      <c r="D596" s="52"/>
      <c r="E596" s="52"/>
      <c r="F596" s="52"/>
      <c r="G596" s="52"/>
      <c r="H596" s="52"/>
      <c r="I596" s="52"/>
      <c r="J596" s="52"/>
      <c r="K596" s="52"/>
      <c r="L596" s="56"/>
      <c r="M596" s="56"/>
      <c r="N596" s="52"/>
      <c r="O596" s="52"/>
      <c r="P596" s="52"/>
      <c r="Q596" s="52"/>
      <c r="R596" s="52"/>
      <c r="S596" s="57"/>
      <c r="T596" s="54"/>
      <c r="U596" s="54"/>
      <c r="V596" s="54"/>
      <c r="W596" s="54"/>
      <c r="X596" s="54"/>
      <c r="Y596" s="54"/>
      <c r="Z596" s="54"/>
      <c r="AA596" s="54"/>
      <c r="AB596" s="54"/>
      <c r="AC596" s="50" t="s">
        <v>201</v>
      </c>
      <c r="AD596" s="51" t="s">
        <v>202</v>
      </c>
      <c r="AE596" s="44">
        <f>ROUND((((X595*E595)/1800)*0.13),4)</f>
        <v>2.07E-2</v>
      </c>
      <c r="AF596" s="44">
        <f>ROUND(((Z595+AA595+AB595)*0.13),4)</f>
        <v>2.76E-2</v>
      </c>
    </row>
    <row r="597" spans="1:34" ht="12.95" customHeight="1" x14ac:dyDescent="0.25">
      <c r="A597" s="52"/>
      <c r="B597" s="88"/>
      <c r="C597" s="55"/>
      <c r="D597" s="55"/>
      <c r="E597" s="52"/>
      <c r="F597" s="52"/>
      <c r="G597" s="52"/>
      <c r="H597" s="52"/>
      <c r="I597" s="52"/>
      <c r="J597" s="52"/>
      <c r="K597" s="52"/>
      <c r="L597" s="59">
        <v>0.8</v>
      </c>
      <c r="M597" s="59">
        <v>0.98</v>
      </c>
      <c r="N597" s="52"/>
      <c r="O597" s="52"/>
      <c r="P597" s="52"/>
      <c r="Q597" s="52"/>
      <c r="R597" s="52"/>
      <c r="S597" s="60">
        <v>0.39</v>
      </c>
      <c r="T597" s="48">
        <f>ROUND((L597*I595+1.3*L597*K595+S597*H595),4)</f>
        <v>292.8</v>
      </c>
      <c r="U597" s="48">
        <f>ROUND((M597*0.9*I595+1.3*M597*0.9*K595+S597*H595),4)</f>
        <v>320.4135</v>
      </c>
      <c r="V597" s="48">
        <f>ROUND((M597*I595+1.3*M597*K595+S597*H595),4)</f>
        <v>353.41500000000002</v>
      </c>
      <c r="W597" s="48">
        <f>ROUND((L597*J595+1.3*L597*N595+S597*G595),4)</f>
        <v>23.94</v>
      </c>
      <c r="X597" s="48">
        <f>ROUND((M597*0.9*J595+1.3*M597*0.9*N595+S597*G595),4)</f>
        <v>26.154</v>
      </c>
      <c r="Y597" s="48">
        <f>ROUND((M597*J595+1.3*M597*N595+S597*G595),4)</f>
        <v>28.8</v>
      </c>
      <c r="Z597" s="49">
        <f>ROUND((P595*T597*F595*O595/1000000),4)</f>
        <v>8.8000000000000005E-3</v>
      </c>
      <c r="AA597" s="49">
        <f>ROUND((Q595*U597*F595*O595/1000000),4)</f>
        <v>9.5999999999999992E-3</v>
      </c>
      <c r="AB597" s="49">
        <f>ROUND((R595*V597*F595*O595/1000000),4)</f>
        <v>0</v>
      </c>
      <c r="AC597" s="50" t="s">
        <v>203</v>
      </c>
      <c r="AD597" s="51" t="s">
        <v>204</v>
      </c>
      <c r="AE597" s="44">
        <f>ROUND((((X597*E595)/1800)),4)</f>
        <v>1.4500000000000001E-2</v>
      </c>
      <c r="AF597" s="44">
        <f>ROUND(((Z597+AA597+AB597)),5)</f>
        <v>1.84E-2</v>
      </c>
    </row>
    <row r="598" spans="1:34" ht="12.95" customHeight="1" x14ac:dyDescent="0.25">
      <c r="A598" s="52"/>
      <c r="B598" s="88"/>
      <c r="C598" s="52"/>
      <c r="D598" s="52"/>
      <c r="E598" s="52"/>
      <c r="F598" s="52"/>
      <c r="G598" s="52"/>
      <c r="H598" s="52"/>
      <c r="I598" s="52"/>
      <c r="J598" s="52"/>
      <c r="K598" s="52"/>
      <c r="L598" s="59">
        <v>1.79</v>
      </c>
      <c r="M598" s="59">
        <v>2.15</v>
      </c>
      <c r="N598" s="52"/>
      <c r="O598" s="52"/>
      <c r="P598" s="52"/>
      <c r="Q598" s="52"/>
      <c r="R598" s="52"/>
      <c r="S598" s="61">
        <v>1.24</v>
      </c>
      <c r="T598" s="48">
        <f>ROUND((L598*I595+1.3*L598*K595+S598*H595),4)</f>
        <v>677.1825</v>
      </c>
      <c r="U598" s="48">
        <f>ROUND((M598*0.9*I595+1.3*M598*0.9*K595+S598*H595),4)</f>
        <v>726.01130000000001</v>
      </c>
      <c r="V598" s="48">
        <f>ROUND((M598*I595+1.3*M598*K595+S598*H595),4)</f>
        <v>798.41250000000002</v>
      </c>
      <c r="W598" s="48">
        <f>ROUND((L598*J595+1.3*L598*N595+S598*G595),4)</f>
        <v>55.77</v>
      </c>
      <c r="X598" s="48">
        <f>ROUND((M598*0.9*J595+1.3*M598*0.9*N595+S598*G595),4)</f>
        <v>59.685000000000002</v>
      </c>
      <c r="Y598" s="48">
        <f>ROUND((M598*J595+1.3*N595+S598*G595),4)</f>
        <v>50.54</v>
      </c>
      <c r="Z598" s="49">
        <f>ROUND((P595*T598*F595*O595/1000000),4)</f>
        <v>2.0299999999999999E-2</v>
      </c>
      <c r="AA598" s="49">
        <f>ROUND((Q595*U598*F595*O595/1000000),4)</f>
        <v>2.18E-2</v>
      </c>
      <c r="AB598" s="49">
        <f>ROUND((R595*V598*F595*O595/1000000),4)</f>
        <v>0</v>
      </c>
      <c r="AC598" s="50" t="s">
        <v>205</v>
      </c>
      <c r="AD598" s="51" t="s">
        <v>206</v>
      </c>
      <c r="AE598" s="44">
        <f>ROUND((((X598*E595)/1800)),4)</f>
        <v>3.32E-2</v>
      </c>
      <c r="AF598" s="44">
        <f>ROUND(((Z598+AA598+AB598)),4)</f>
        <v>4.2099999999999999E-2</v>
      </c>
    </row>
    <row r="599" spans="1:34" ht="12.95" customHeight="1" x14ac:dyDescent="0.25">
      <c r="A599" s="52"/>
      <c r="B599" s="53"/>
      <c r="C599" s="52"/>
      <c r="D599" s="52"/>
      <c r="E599" s="52"/>
      <c r="F599" s="52"/>
      <c r="G599" s="52"/>
      <c r="H599" s="52"/>
      <c r="I599" s="52"/>
      <c r="J599" s="52"/>
      <c r="K599" s="52"/>
      <c r="L599" s="59">
        <v>1.1299999999999999</v>
      </c>
      <c r="M599" s="59">
        <v>1.7</v>
      </c>
      <c r="N599" s="52"/>
      <c r="O599" s="52"/>
      <c r="P599" s="52"/>
      <c r="Q599" s="52"/>
      <c r="R599" s="52"/>
      <c r="S599" s="61">
        <v>0.26</v>
      </c>
      <c r="T599" s="48">
        <f>ROUND((L599*I595+1.3*L599*K595+S599*H595),4)</f>
        <v>396.1275</v>
      </c>
      <c r="U599" s="48">
        <f>ROUND((M599*0.9*I595+1.3*M599*0.9*K595+S599*H595),4)</f>
        <v>530.82749999999999</v>
      </c>
      <c r="V599" s="48">
        <f>ROUND((M599*I595+1.3*M599*K595+S599*H595),4)</f>
        <v>588.07500000000005</v>
      </c>
      <c r="W599" s="48">
        <f>ROUND((L599*J595+1.3*L599*N595+S599*G595),4)</f>
        <v>32.07</v>
      </c>
      <c r="X599" s="48">
        <f>ROUND((M599*0.9*J595+1.3*M599*0.9*N595+S599*G595),4)</f>
        <v>42.87</v>
      </c>
      <c r="Y599" s="48">
        <f>ROUND((M599*J595+1.3*M599*N595+S599*G595),4)</f>
        <v>47.46</v>
      </c>
      <c r="Z599" s="49">
        <f>ROUND((P595*T599*F595*O595/1000000),4)</f>
        <v>1.1900000000000001E-2</v>
      </c>
      <c r="AA599" s="49">
        <f>ROUND((Q595*U599*F595*O595/1000000),4)</f>
        <v>1.5900000000000001E-2</v>
      </c>
      <c r="AB599" s="49">
        <f>ROUND((R595*V599*F595*O595/1000000),4)</f>
        <v>0</v>
      </c>
      <c r="AC599" s="50" t="s">
        <v>250</v>
      </c>
      <c r="AD599" s="51" t="s">
        <v>208</v>
      </c>
      <c r="AE599" s="44">
        <f>ROUND((((X599*E595)/1800)),4)</f>
        <v>2.3800000000000002E-2</v>
      </c>
      <c r="AF599" s="44">
        <f>ROUND(((Z599+AA599+AB599)),4)</f>
        <v>2.7799999999999998E-2</v>
      </c>
    </row>
    <row r="600" spans="1:34" ht="12.95" customHeight="1" x14ac:dyDescent="0.25">
      <c r="A600" s="52"/>
      <c r="B600" s="62"/>
      <c r="C600" s="56"/>
      <c r="D600" s="56"/>
      <c r="E600" s="56"/>
      <c r="F600" s="56"/>
      <c r="G600" s="56"/>
      <c r="H600" s="56"/>
      <c r="I600" s="56"/>
      <c r="J600" s="56"/>
      <c r="K600" s="56"/>
      <c r="L600" s="59">
        <v>5.3</v>
      </c>
      <c r="M600" s="59">
        <v>6.47</v>
      </c>
      <c r="N600" s="56"/>
      <c r="O600" s="56"/>
      <c r="P600" s="56"/>
      <c r="Q600" s="56"/>
      <c r="R600" s="56"/>
      <c r="S600" s="61">
        <v>9.92</v>
      </c>
      <c r="T600" s="48">
        <f>ROUND((L600*I595+1.3*L600*K595+S600*H595),4)</f>
        <v>2379.9749999999999</v>
      </c>
      <c r="U600" s="48">
        <f>ROUND((M600*0.9*I595+1.3*M600*0.9*K595+S600*H595),4)</f>
        <v>2556.0953</v>
      </c>
      <c r="V600" s="48">
        <f>ROUND((M600*I595+1.3*M600*K595+S600*H595),4)</f>
        <v>2773.9724999999999</v>
      </c>
      <c r="W600" s="48">
        <f>ROUND((L600*J595+1.3*L600*N595+S600*G595),4)</f>
        <v>202.62</v>
      </c>
      <c r="X600" s="48">
        <f>ROUND((M600*0.9*J595+1.3*M600*0.9*N595+S600*G595),4)</f>
        <v>216.74100000000001</v>
      </c>
      <c r="Y600" s="48">
        <f>ROUND((M600*J595+1.3*M600*N595+S600*G595),4)</f>
        <v>234.21</v>
      </c>
      <c r="Z600" s="49">
        <f>ROUND((P595*T600*F595*O595/1000000),4)</f>
        <v>7.1400000000000005E-2</v>
      </c>
      <c r="AA600" s="49">
        <f>ROUND((Q595*U600*F595*O595/1000000),4)</f>
        <v>7.6700000000000004E-2</v>
      </c>
      <c r="AB600" s="49">
        <f>ROUND((R595*V600*F595*O595/1000000),4)</f>
        <v>0</v>
      </c>
      <c r="AC600" s="50" t="s">
        <v>170</v>
      </c>
      <c r="AD600" s="51" t="s">
        <v>162</v>
      </c>
      <c r="AE600" s="44">
        <f>ROUND((((X600*E595)/1800)),4)</f>
        <v>0.12039999999999999</v>
      </c>
      <c r="AF600" s="44">
        <f>ROUND(((Z600+AA600+AB600)),4)</f>
        <v>0.14810000000000001</v>
      </c>
    </row>
    <row r="601" spans="1:34" ht="12.95" customHeight="1" x14ac:dyDescent="0.25">
      <c r="A601" s="89"/>
      <c r="B601" s="46" t="s">
        <v>236</v>
      </c>
      <c r="C601" s="46">
        <v>6</v>
      </c>
      <c r="D601" s="45" t="s">
        <v>210</v>
      </c>
      <c r="E601" s="45">
        <v>1</v>
      </c>
      <c r="F601" s="45">
        <v>1</v>
      </c>
      <c r="G601" s="45">
        <v>6</v>
      </c>
      <c r="H601" s="45">
        <v>60</v>
      </c>
      <c r="I601" s="45">
        <f>(8-1-0.75*2)*60*F601-K601-8*0.12*60</f>
        <v>57.900000000000006</v>
      </c>
      <c r="J601" s="45">
        <v>14</v>
      </c>
      <c r="K601" s="45">
        <f>(8-1-0.75*2)*0.65*60*F601</f>
        <v>214.5</v>
      </c>
      <c r="L601" s="48">
        <v>6.47</v>
      </c>
      <c r="M601" s="48">
        <v>6.47</v>
      </c>
      <c r="N601" s="45">
        <v>10</v>
      </c>
      <c r="O601" s="45">
        <f>E601/F601</f>
        <v>1</v>
      </c>
      <c r="P601" s="45">
        <v>15</v>
      </c>
      <c r="Q601" s="45">
        <v>15</v>
      </c>
      <c r="R601" s="47">
        <v>0</v>
      </c>
      <c r="S601" s="47">
        <v>1.27</v>
      </c>
      <c r="T601" s="48">
        <f>ROUND((L601*I601+1.3*L601*K601+S601*H601),4)</f>
        <v>2254.9724999999999</v>
      </c>
      <c r="U601" s="48">
        <f>ROUND((M601*I601+1.3*M601*K601+S601*H601),4)</f>
        <v>2254.9724999999999</v>
      </c>
      <c r="V601" s="48">
        <f>ROUND((M601*I601+1.3*M601*K601+S601*H601),4)</f>
        <v>2254.9724999999999</v>
      </c>
      <c r="W601" s="48">
        <f>ROUND((L601*J601+1.3*L601*N601+S601*G601),4)</f>
        <v>182.31</v>
      </c>
      <c r="X601" s="48">
        <f>ROUND((M601*J601+1.3*M601*N601+S601*G601),4)</f>
        <v>182.31</v>
      </c>
      <c r="Y601" s="48">
        <f>ROUND((M601*J601+1.3*M601*N601+S601*G601),4)</f>
        <v>182.31</v>
      </c>
      <c r="Z601" s="49">
        <f>ROUND((P601*T601*F601*O601/1000000),4)</f>
        <v>3.3799999999999997E-2</v>
      </c>
      <c r="AA601" s="49">
        <f>ROUND((Q601*U601*F601*O601/1000000),4)</f>
        <v>3.3799999999999997E-2</v>
      </c>
      <c r="AB601" s="49">
        <f>ROUND((R601*V601*F601*O601/1000000),4)</f>
        <v>0</v>
      </c>
      <c r="AC601" s="50" t="s">
        <v>200</v>
      </c>
      <c r="AD601" s="51" t="s">
        <v>153</v>
      </c>
      <c r="AE601" s="44">
        <f>ROUND((((X601*E601)/1800)*0.8),4)</f>
        <v>8.1000000000000003E-2</v>
      </c>
      <c r="AF601" s="44">
        <f>ROUND(((Z601+AA601+AB601)*0.8),4)</f>
        <v>5.4100000000000002E-2</v>
      </c>
      <c r="AG601" s="88"/>
      <c r="AH601" s="88"/>
    </row>
    <row r="602" spans="1:34" ht="12.95" customHeight="1" x14ac:dyDescent="0.25">
      <c r="A602" s="89"/>
      <c r="B602" s="53" t="s">
        <v>237</v>
      </c>
      <c r="C602" s="52"/>
      <c r="D602" s="52"/>
      <c r="E602" s="52"/>
      <c r="F602" s="63"/>
      <c r="G602" s="52"/>
      <c r="H602" s="52"/>
      <c r="I602" s="52"/>
      <c r="J602" s="52"/>
      <c r="K602" s="52"/>
      <c r="L602" s="56"/>
      <c r="M602" s="56"/>
      <c r="N602" s="52"/>
      <c r="O602" s="52"/>
      <c r="P602" s="52"/>
      <c r="Q602" s="52"/>
      <c r="R602" s="52"/>
      <c r="S602" s="57"/>
      <c r="T602" s="54"/>
      <c r="U602" s="54"/>
      <c r="V602" s="54"/>
      <c r="W602" s="54"/>
      <c r="X602" s="54"/>
      <c r="Y602" s="54"/>
      <c r="Z602" s="54"/>
      <c r="AA602" s="54"/>
      <c r="AB602" s="54"/>
      <c r="AC602" s="50" t="s">
        <v>201</v>
      </c>
      <c r="AD602" s="51" t="s">
        <v>202</v>
      </c>
      <c r="AE602" s="44">
        <f>ROUND((((X601*E601)/1800)*0.13),4)</f>
        <v>1.32E-2</v>
      </c>
      <c r="AF602" s="44">
        <f>ROUND(((Z601+AA601+AB601)*0.13),4)</f>
        <v>8.8000000000000005E-3</v>
      </c>
      <c r="AG602" s="88"/>
      <c r="AH602" s="88"/>
    </row>
    <row r="603" spans="1:34" ht="12.95" customHeight="1" x14ac:dyDescent="0.25">
      <c r="A603" s="89"/>
      <c r="B603" s="67"/>
      <c r="C603" s="55"/>
      <c r="D603" s="55"/>
      <c r="E603" s="52"/>
      <c r="F603" s="63"/>
      <c r="G603" s="52"/>
      <c r="H603" s="52"/>
      <c r="I603" s="52"/>
      <c r="J603" s="52"/>
      <c r="K603" s="52"/>
      <c r="L603" s="59">
        <v>0.51</v>
      </c>
      <c r="M603" s="59">
        <v>0.63</v>
      </c>
      <c r="N603" s="52"/>
      <c r="O603" s="52"/>
      <c r="P603" s="52"/>
      <c r="Q603" s="52"/>
      <c r="R603" s="52"/>
      <c r="S603" s="60">
        <v>0.25</v>
      </c>
      <c r="T603" s="48">
        <f>ROUND((L603*I601+1.3*L603*K601+S603*H601),4)</f>
        <v>186.74250000000001</v>
      </c>
      <c r="U603" s="48">
        <f>ROUND((M603*0.9*I601+1.3*M603*0.9*K601+S603*H601),4)</f>
        <v>205.93729999999999</v>
      </c>
      <c r="V603" s="48">
        <f>ROUND((M603*I601+1.3*M603*K601+S603*H601),4)</f>
        <v>227.1525</v>
      </c>
      <c r="W603" s="48">
        <f>ROUND((L603*J601+1.3*L603*N601+S603*G601),4)</f>
        <v>15.27</v>
      </c>
      <c r="X603" s="48">
        <f>ROUND((M603*0.9*J601+1.3*M603*0.9*N601+S603*G601),4)</f>
        <v>16.809000000000001</v>
      </c>
      <c r="Y603" s="48">
        <f>ROUND((M603*J601+1.3*M603*N601+S603*G601),4)</f>
        <v>18.510000000000002</v>
      </c>
      <c r="Z603" s="49">
        <f>ROUND((P601*T603*F601*O601/1000000),4)</f>
        <v>2.8E-3</v>
      </c>
      <c r="AA603" s="49">
        <f>ROUND((Q601*U603*F601*O601/1000000),4)</f>
        <v>3.0999999999999999E-3</v>
      </c>
      <c r="AB603" s="49">
        <f>ROUND((R601*V603*F601*O601/1000000),4)</f>
        <v>0</v>
      </c>
      <c r="AC603" s="50" t="s">
        <v>203</v>
      </c>
      <c r="AD603" s="51" t="s">
        <v>204</v>
      </c>
      <c r="AE603" s="44">
        <f>ROUND((((X603*E601)/1800)),4)</f>
        <v>9.2999999999999992E-3</v>
      </c>
      <c r="AF603" s="44">
        <f>ROUND(((Z603+AA603+AB603)),5)</f>
        <v>5.8999999999999999E-3</v>
      </c>
      <c r="AG603" s="88"/>
      <c r="AH603" s="88"/>
    </row>
    <row r="604" spans="1:34" ht="12.95" customHeight="1" x14ac:dyDescent="0.25">
      <c r="A604" s="89"/>
      <c r="B604" s="53"/>
      <c r="C604" s="52"/>
      <c r="D604" s="52"/>
      <c r="E604" s="52"/>
      <c r="F604" s="63"/>
      <c r="G604" s="52"/>
      <c r="H604" s="52"/>
      <c r="I604" s="52"/>
      <c r="J604" s="52"/>
      <c r="K604" s="52"/>
      <c r="L604" s="59">
        <v>1.1399999999999999</v>
      </c>
      <c r="M604" s="59">
        <v>1.37</v>
      </c>
      <c r="N604" s="52"/>
      <c r="O604" s="52"/>
      <c r="P604" s="52"/>
      <c r="Q604" s="52"/>
      <c r="R604" s="52"/>
      <c r="S604" s="61">
        <v>0.79</v>
      </c>
      <c r="T604" s="48">
        <f>ROUND((L604*I601+1.3*L604*K601+S604*H601),4)</f>
        <v>431.29500000000002</v>
      </c>
      <c r="U604" s="48">
        <f>ROUND((M604*0.9*I601+1.3*M604*0.9*K601+S604*H601),4)</f>
        <v>462.61279999999999</v>
      </c>
      <c r="V604" s="48">
        <f>ROUND((M604*I601+1.3*M604*K601+S604*H601),4)</f>
        <v>508.7475</v>
      </c>
      <c r="W604" s="48">
        <f>ROUND((L604*J601+1.3*L604*N601+S604*G601),4)</f>
        <v>35.520000000000003</v>
      </c>
      <c r="X604" s="48">
        <f>ROUND((M604*0.9*J601+1.3*M604*0.9*N601+S604*G601),4)</f>
        <v>38.030999999999999</v>
      </c>
      <c r="Y604" s="48">
        <f>ROUND((M604*J601+1.3*N601+S604*G601),4)</f>
        <v>36.92</v>
      </c>
      <c r="Z604" s="49">
        <f>ROUND((P601*T604*F601*O601/1000000),4)</f>
        <v>6.4999999999999997E-3</v>
      </c>
      <c r="AA604" s="49">
        <f>ROUND((Q601*U604*F601*O601/1000000),4)</f>
        <v>6.8999999999999999E-3</v>
      </c>
      <c r="AB604" s="49">
        <f>ROUND((R601*V604*F601*O601/1000000),4)</f>
        <v>0</v>
      </c>
      <c r="AC604" s="50" t="s">
        <v>205</v>
      </c>
      <c r="AD604" s="51" t="s">
        <v>206</v>
      </c>
      <c r="AE604" s="44">
        <f>ROUND((((X604*E601)/1800)),4)</f>
        <v>2.1100000000000001E-2</v>
      </c>
      <c r="AF604" s="44">
        <f>ROUND(((Z604+AA604+AB604)),4)</f>
        <v>1.34E-2</v>
      </c>
      <c r="AG604" s="88"/>
      <c r="AH604" s="88"/>
    </row>
    <row r="605" spans="1:34" ht="12.95" customHeight="1" x14ac:dyDescent="0.25">
      <c r="A605" s="89"/>
      <c r="B605" s="53"/>
      <c r="C605" s="52"/>
      <c r="D605" s="52"/>
      <c r="E605" s="52"/>
      <c r="F605" s="63"/>
      <c r="G605" s="52"/>
      <c r="H605" s="52"/>
      <c r="I605" s="52"/>
      <c r="J605" s="52"/>
      <c r="K605" s="52"/>
      <c r="L605" s="59">
        <v>0.72</v>
      </c>
      <c r="M605" s="59">
        <v>1.08</v>
      </c>
      <c r="N605" s="52"/>
      <c r="O605" s="52"/>
      <c r="P605" s="52"/>
      <c r="Q605" s="52"/>
      <c r="R605" s="52"/>
      <c r="S605" s="61">
        <v>0.17</v>
      </c>
      <c r="T605" s="48">
        <f>ROUND((L605*I601+1.3*L605*K601+S605*H601),4)</f>
        <v>252.66</v>
      </c>
      <c r="U605" s="48">
        <f>ROUND((M605*0.9*I601+1.3*M605*0.9*K601+S605*H601),4)</f>
        <v>337.52100000000002</v>
      </c>
      <c r="V605" s="48">
        <f>ROUND((M605*I601+1.3*M605*K601+S605*H601),4)</f>
        <v>373.89</v>
      </c>
      <c r="W605" s="48">
        <f>ROUND((L605*J601+1.3*L605*N601+S605*G601),4)</f>
        <v>20.46</v>
      </c>
      <c r="X605" s="48">
        <f>ROUND((M605*0.9*J601+1.3*M605*0.9*N601+S605*G601),4)</f>
        <v>27.263999999999999</v>
      </c>
      <c r="Y605" s="48">
        <f>ROUND((M605*J601+1.3*M605*N601+S605*G601),4)</f>
        <v>30.18</v>
      </c>
      <c r="Z605" s="49">
        <f>ROUND((P601*T605*F601*O601/1000000),4)</f>
        <v>3.8E-3</v>
      </c>
      <c r="AA605" s="49">
        <f>ROUND((Q601*U605*F601*O601/1000000),4)</f>
        <v>5.1000000000000004E-3</v>
      </c>
      <c r="AB605" s="49">
        <f>ROUND((R601*V605*F601*O601/1000000),4)</f>
        <v>0</v>
      </c>
      <c r="AC605" s="50" t="s">
        <v>250</v>
      </c>
      <c r="AD605" s="51" t="s">
        <v>208</v>
      </c>
      <c r="AE605" s="44">
        <f>ROUND((((X605*E601)/1800)),4)</f>
        <v>1.5100000000000001E-2</v>
      </c>
      <c r="AF605" s="44">
        <f>ROUND(((Z605+AA605+AB605)),4)</f>
        <v>8.8999999999999999E-3</v>
      </c>
      <c r="AG605" s="88"/>
      <c r="AH605" s="88"/>
    </row>
    <row r="606" spans="1:34" ht="12.95" customHeight="1" x14ac:dyDescent="0.25">
      <c r="A606" s="89"/>
      <c r="B606" s="62"/>
      <c r="C606" s="56"/>
      <c r="D606" s="56"/>
      <c r="E606" s="56"/>
      <c r="F606" s="66"/>
      <c r="G606" s="56"/>
      <c r="H606" s="56"/>
      <c r="I606" s="56"/>
      <c r="J606" s="56"/>
      <c r="K606" s="56"/>
      <c r="L606" s="59">
        <v>3.37</v>
      </c>
      <c r="M606" s="59">
        <v>4.1100000000000003</v>
      </c>
      <c r="N606" s="56"/>
      <c r="O606" s="56"/>
      <c r="P606" s="56"/>
      <c r="Q606" s="56"/>
      <c r="R606" s="56"/>
      <c r="S606" s="61">
        <v>6.31</v>
      </c>
      <c r="T606" s="48">
        <f>ROUND((L606*I601+1.3*L606*K601+S606*H601),4)</f>
        <v>1513.4475</v>
      </c>
      <c r="U606" s="48">
        <f>ROUND((M606*0.9*I601+1.3*M606*0.9*K601+S606*H601),4)</f>
        <v>1624.2383</v>
      </c>
      <c r="V606" s="48">
        <f>ROUND((M606*I601+1.3*M606*K601+S606*H601),4)</f>
        <v>1762.6424999999999</v>
      </c>
      <c r="W606" s="48">
        <f>ROUND((L606*J601+1.3*L606*N601+S606*G601),4)</f>
        <v>128.85</v>
      </c>
      <c r="X606" s="48">
        <f>ROUND((M606*0.9*J601+1.3*M606*0.9*N601+S606*G601),4)</f>
        <v>137.733</v>
      </c>
      <c r="Y606" s="48">
        <f>ROUND((M606*J601+1.3*M606*N601+S606*G601),4)</f>
        <v>148.83000000000001</v>
      </c>
      <c r="Z606" s="49">
        <f>ROUND((P601*T606*F601*O601/1000000),4)</f>
        <v>2.2700000000000001E-2</v>
      </c>
      <c r="AA606" s="49">
        <f>ROUND((Q601*U606*F601*O601/1000000),4)</f>
        <v>2.4400000000000002E-2</v>
      </c>
      <c r="AB606" s="49">
        <f>ROUND((R601*V606*F601*O601/1000000),4)</f>
        <v>0</v>
      </c>
      <c r="AC606" s="50" t="s">
        <v>170</v>
      </c>
      <c r="AD606" s="51" t="s">
        <v>162</v>
      </c>
      <c r="AE606" s="44">
        <f>ROUND((((X606*E601)/1800)),4)</f>
        <v>7.6499999999999999E-2</v>
      </c>
      <c r="AF606" s="44">
        <f>ROUND(((Z606+AA606+AB606)),4)</f>
        <v>4.7100000000000003E-2</v>
      </c>
    </row>
    <row r="607" spans="1:34" ht="12.95" customHeight="1" x14ac:dyDescent="0.25">
      <c r="A607" s="89"/>
      <c r="B607" s="46" t="s">
        <v>240</v>
      </c>
      <c r="C607" s="46">
        <v>6</v>
      </c>
      <c r="D607" s="45" t="s">
        <v>210</v>
      </c>
      <c r="E607" s="45">
        <v>1</v>
      </c>
      <c r="F607" s="45">
        <v>1</v>
      </c>
      <c r="G607" s="45">
        <v>6</v>
      </c>
      <c r="H607" s="45">
        <v>60</v>
      </c>
      <c r="I607" s="45">
        <f>(8-1-0.75*2)*60*F607-K607-8*0.12*60</f>
        <v>57.900000000000006</v>
      </c>
      <c r="J607" s="45">
        <v>14</v>
      </c>
      <c r="K607" s="45">
        <f>(8-1-0.75*2)*0.65*60*F607</f>
        <v>214.5</v>
      </c>
      <c r="L607" s="48">
        <v>6.47</v>
      </c>
      <c r="M607" s="48">
        <v>6.47</v>
      </c>
      <c r="N607" s="45">
        <v>10</v>
      </c>
      <c r="O607" s="45">
        <f>E607/F607</f>
        <v>1</v>
      </c>
      <c r="P607" s="45">
        <v>15</v>
      </c>
      <c r="Q607" s="45">
        <v>15</v>
      </c>
      <c r="R607" s="47">
        <v>0</v>
      </c>
      <c r="S607" s="47">
        <v>1.27</v>
      </c>
      <c r="T607" s="48">
        <f>ROUND((L607*I607+1.3*L607*K607+S607*H607),4)</f>
        <v>2254.9724999999999</v>
      </c>
      <c r="U607" s="48">
        <f>ROUND((M607*I607+1.3*M607*K607+S607*H607),4)</f>
        <v>2254.9724999999999</v>
      </c>
      <c r="V607" s="48">
        <f>ROUND((M607*I607+1.3*M607*K607+S607*H607),4)</f>
        <v>2254.9724999999999</v>
      </c>
      <c r="W607" s="48">
        <f>ROUND((L607*J607+1.3*L607*N607+S607*G607),4)</f>
        <v>182.31</v>
      </c>
      <c r="X607" s="48">
        <f>ROUND((M607*J607+1.3*M607*N607+S607*G607),4)</f>
        <v>182.31</v>
      </c>
      <c r="Y607" s="48">
        <f>ROUND((M607*J607+1.3*M607*N607+S607*G607),4)</f>
        <v>182.31</v>
      </c>
      <c r="Z607" s="49">
        <f>ROUND((P607*T607*F607*O607/1000000),4)</f>
        <v>3.3799999999999997E-2</v>
      </c>
      <c r="AA607" s="49">
        <f>ROUND((Q607*U607*F607*O607/1000000),4)</f>
        <v>3.3799999999999997E-2</v>
      </c>
      <c r="AB607" s="49">
        <f>ROUND((R607*V607*F607*O607/1000000),4)</f>
        <v>0</v>
      </c>
      <c r="AC607" s="50" t="s">
        <v>200</v>
      </c>
      <c r="AD607" s="51" t="s">
        <v>153</v>
      </c>
      <c r="AE607" s="44">
        <f>ROUND((((X607*E607)/1800)*0.8),4)</f>
        <v>8.1000000000000003E-2</v>
      </c>
      <c r="AF607" s="44">
        <f>ROUND(((Z607+AA607+AB607)*0.8),4)</f>
        <v>5.4100000000000002E-2</v>
      </c>
    </row>
    <row r="608" spans="1:34" ht="12.95" customHeight="1" x14ac:dyDescent="0.25">
      <c r="A608" s="89"/>
      <c r="B608" s="53" t="s">
        <v>241</v>
      </c>
      <c r="C608" s="52"/>
      <c r="D608" s="52"/>
      <c r="E608" s="52"/>
      <c r="F608" s="52"/>
      <c r="G608" s="52"/>
      <c r="H608" s="52"/>
      <c r="I608" s="52"/>
      <c r="J608" s="52"/>
      <c r="K608" s="52"/>
      <c r="L608" s="56"/>
      <c r="M608" s="56"/>
      <c r="N608" s="52"/>
      <c r="O608" s="52"/>
      <c r="P608" s="52"/>
      <c r="Q608" s="52"/>
      <c r="R608" s="52"/>
      <c r="S608" s="57"/>
      <c r="T608" s="54"/>
      <c r="U608" s="54"/>
      <c r="V608" s="54"/>
      <c r="W608" s="54"/>
      <c r="X608" s="54"/>
      <c r="Y608" s="54"/>
      <c r="Z608" s="54"/>
      <c r="AA608" s="54"/>
      <c r="AB608" s="54"/>
      <c r="AC608" s="50" t="s">
        <v>201</v>
      </c>
      <c r="AD608" s="51" t="s">
        <v>202</v>
      </c>
      <c r="AE608" s="44">
        <f>ROUND((((X607*E607)/1800)*0.13),4)</f>
        <v>1.32E-2</v>
      </c>
      <c r="AF608" s="44">
        <f>ROUND(((Z607+AA607+AB607)*0.13),4)</f>
        <v>8.8000000000000005E-3</v>
      </c>
    </row>
    <row r="609" spans="1:34" ht="12.95" customHeight="1" x14ac:dyDescent="0.25">
      <c r="A609" s="89"/>
      <c r="B609" s="67"/>
      <c r="C609" s="55"/>
      <c r="D609" s="55"/>
      <c r="E609" s="52"/>
      <c r="F609" s="52"/>
      <c r="G609" s="52"/>
      <c r="H609" s="52"/>
      <c r="I609" s="52"/>
      <c r="J609" s="52"/>
      <c r="K609" s="52"/>
      <c r="L609" s="59">
        <v>0.51</v>
      </c>
      <c r="M609" s="59">
        <v>0.63</v>
      </c>
      <c r="N609" s="52"/>
      <c r="O609" s="52"/>
      <c r="P609" s="52"/>
      <c r="Q609" s="52"/>
      <c r="R609" s="52"/>
      <c r="S609" s="60">
        <v>0.25</v>
      </c>
      <c r="T609" s="48">
        <f>ROUND((L609*I607+1.3*L609*K607+S609*H607),4)</f>
        <v>186.74250000000001</v>
      </c>
      <c r="U609" s="48">
        <f>ROUND((M609*0.9*I607+1.3*M609*0.9*K607+S609*H607),4)</f>
        <v>205.93729999999999</v>
      </c>
      <c r="V609" s="48">
        <f>ROUND((M609*I607+1.3*M609*K607+S609*H607),4)</f>
        <v>227.1525</v>
      </c>
      <c r="W609" s="48">
        <f>ROUND((L609*J607+1.3*L609*N607+S609*G607),4)</f>
        <v>15.27</v>
      </c>
      <c r="X609" s="48">
        <f>ROUND((M609*0.9*J607+1.3*M609*0.9*N607+S609*G607),4)</f>
        <v>16.809000000000001</v>
      </c>
      <c r="Y609" s="48">
        <f>ROUND((M609*J607+1.3*M609*N607+S609*G607),4)</f>
        <v>18.510000000000002</v>
      </c>
      <c r="Z609" s="49">
        <f>ROUND((P607*T609*F607*O607/1000000),4)</f>
        <v>2.8E-3</v>
      </c>
      <c r="AA609" s="49">
        <f>ROUND((Q607*U609*F607*O607/1000000),4)</f>
        <v>3.0999999999999999E-3</v>
      </c>
      <c r="AB609" s="49">
        <f>ROUND((R607*V609*F607*O607/1000000),4)</f>
        <v>0</v>
      </c>
      <c r="AC609" s="50" t="s">
        <v>203</v>
      </c>
      <c r="AD609" s="51" t="s">
        <v>204</v>
      </c>
      <c r="AE609" s="44">
        <f>ROUND((((X609*E607)/1800)),4)</f>
        <v>9.2999999999999992E-3</v>
      </c>
      <c r="AF609" s="44">
        <f>ROUND(((Z609+AA609+AB609)),5)</f>
        <v>5.8999999999999999E-3</v>
      </c>
    </row>
    <row r="610" spans="1:34" ht="12.95" customHeight="1" x14ac:dyDescent="0.25">
      <c r="A610" s="89"/>
      <c r="B610" s="53"/>
      <c r="C610" s="52"/>
      <c r="D610" s="52"/>
      <c r="E610" s="52"/>
      <c r="F610" s="52"/>
      <c r="G610" s="52"/>
      <c r="H610" s="52"/>
      <c r="I610" s="52"/>
      <c r="J610" s="52"/>
      <c r="K610" s="52"/>
      <c r="L610" s="59">
        <v>1.1399999999999999</v>
      </c>
      <c r="M610" s="59">
        <v>1.37</v>
      </c>
      <c r="N610" s="52"/>
      <c r="O610" s="52"/>
      <c r="P610" s="52"/>
      <c r="Q610" s="52"/>
      <c r="R610" s="52"/>
      <c r="S610" s="61">
        <v>0.79</v>
      </c>
      <c r="T610" s="48">
        <f>ROUND((L610*I607+1.3*L610*K607+S610*H607),4)</f>
        <v>431.29500000000002</v>
      </c>
      <c r="U610" s="48">
        <f>ROUND((M610*0.9*I607+1.3*M610*0.9*K607+S610*H607),4)</f>
        <v>462.61279999999999</v>
      </c>
      <c r="V610" s="48">
        <f>ROUND((M610*I607+1.3*M610*K607+S610*H607),4)</f>
        <v>508.7475</v>
      </c>
      <c r="W610" s="48">
        <f>ROUND((L610*J607+1.3*L610*N607+S610*G607),4)</f>
        <v>35.520000000000003</v>
      </c>
      <c r="X610" s="48">
        <f>ROUND((M610*0.9*J607+1.3*M610*0.9*N607+S610*G607),4)</f>
        <v>38.030999999999999</v>
      </c>
      <c r="Y610" s="48">
        <f>ROUND((M610*J607+1.3*N607+S610*G607),4)</f>
        <v>36.92</v>
      </c>
      <c r="Z610" s="49">
        <f>ROUND((P607*T610*F607*O607/1000000),4)</f>
        <v>6.4999999999999997E-3</v>
      </c>
      <c r="AA610" s="49">
        <f>ROUND((Q607*U610*F607*O607/1000000),4)</f>
        <v>6.8999999999999999E-3</v>
      </c>
      <c r="AB610" s="49">
        <f>ROUND((R607*V610*F607*O607/1000000),4)</f>
        <v>0</v>
      </c>
      <c r="AC610" s="50" t="s">
        <v>205</v>
      </c>
      <c r="AD610" s="51" t="s">
        <v>206</v>
      </c>
      <c r="AE610" s="44">
        <f>ROUND((((X610*E607)/1800)),4)</f>
        <v>2.1100000000000001E-2</v>
      </c>
      <c r="AF610" s="44">
        <f>ROUND(((Z610+AA610+AB610)),4)</f>
        <v>1.34E-2</v>
      </c>
    </row>
    <row r="611" spans="1:34" ht="12.95" customHeight="1" x14ac:dyDescent="0.25">
      <c r="A611" s="89"/>
      <c r="B611" s="53"/>
      <c r="C611" s="52"/>
      <c r="D611" s="52"/>
      <c r="E611" s="52"/>
      <c r="F611" s="52"/>
      <c r="G611" s="52"/>
      <c r="H611" s="52"/>
      <c r="I611" s="52"/>
      <c r="J611" s="52"/>
      <c r="K611" s="52"/>
      <c r="L611" s="59">
        <v>0.72</v>
      </c>
      <c r="M611" s="59">
        <v>1.08</v>
      </c>
      <c r="N611" s="52"/>
      <c r="O611" s="52"/>
      <c r="P611" s="52"/>
      <c r="Q611" s="52"/>
      <c r="R611" s="52"/>
      <c r="S611" s="61">
        <v>0.17</v>
      </c>
      <c r="T611" s="48">
        <f>ROUND((L611*I607+1.3*L611*K607+S611*H607),4)</f>
        <v>252.66</v>
      </c>
      <c r="U611" s="48">
        <f>ROUND((M611*0.9*I607+1.3*M611*0.9*K607+S611*H607),4)</f>
        <v>337.52100000000002</v>
      </c>
      <c r="V611" s="48">
        <f>ROUND((M611*I607+1.3*M611*K607+S611*H607),4)</f>
        <v>373.89</v>
      </c>
      <c r="W611" s="48">
        <f>ROUND((L611*J607+1.3*L611*N607+S611*G607),4)</f>
        <v>20.46</v>
      </c>
      <c r="X611" s="48">
        <f>ROUND((M611*0.9*J607+1.3*M611*0.9*N607+S611*G607),4)</f>
        <v>27.263999999999999</v>
      </c>
      <c r="Y611" s="48">
        <f>ROUND((M611*J607+1.3*M611*N607+S611*G607),4)</f>
        <v>30.18</v>
      </c>
      <c r="Z611" s="49">
        <f>ROUND((P607*T611*F607*O607/1000000),4)</f>
        <v>3.8E-3</v>
      </c>
      <c r="AA611" s="49">
        <f>ROUND((Q607*U611*F607*O607/1000000),4)</f>
        <v>5.1000000000000004E-3</v>
      </c>
      <c r="AB611" s="49">
        <f>ROUND((R607*V611*F607*O607/1000000),4)</f>
        <v>0</v>
      </c>
      <c r="AC611" s="50" t="s">
        <v>250</v>
      </c>
      <c r="AD611" s="51" t="s">
        <v>208</v>
      </c>
      <c r="AE611" s="44">
        <f>ROUND((((X611*E607)/1800)),4)</f>
        <v>1.5100000000000001E-2</v>
      </c>
      <c r="AF611" s="44">
        <f>ROUND(((Z611+AA611+AB611)),4)</f>
        <v>8.8999999999999999E-3</v>
      </c>
    </row>
    <row r="612" spans="1:34" ht="12.95" customHeight="1" x14ac:dyDescent="0.25">
      <c r="A612" s="89"/>
      <c r="B612" s="62"/>
      <c r="C612" s="56"/>
      <c r="D612" s="56"/>
      <c r="E612" s="56"/>
      <c r="F612" s="56"/>
      <c r="G612" s="56"/>
      <c r="H612" s="56"/>
      <c r="I612" s="56"/>
      <c r="J612" s="56"/>
      <c r="K612" s="56"/>
      <c r="L612" s="59">
        <v>3.37</v>
      </c>
      <c r="M612" s="59">
        <v>4.1100000000000003</v>
      </c>
      <c r="N612" s="56"/>
      <c r="O612" s="56"/>
      <c r="P612" s="56"/>
      <c r="Q612" s="56"/>
      <c r="R612" s="56"/>
      <c r="S612" s="61">
        <v>6.31</v>
      </c>
      <c r="T612" s="48">
        <f>ROUND((L612*I607+1.3*L612*K607+S612*H607),4)</f>
        <v>1513.4475</v>
      </c>
      <c r="U612" s="48">
        <f>ROUND((M612*0.9*I607+1.3*M612*0.9*K607+S612*H607),4)</f>
        <v>1624.2383</v>
      </c>
      <c r="V612" s="48">
        <f>ROUND((M612*I607+1.3*M612*K607+S612*H607),4)</f>
        <v>1762.6424999999999</v>
      </c>
      <c r="W612" s="48">
        <f>ROUND((L612*J607+1.3*L612*N607+S612*G607),4)</f>
        <v>128.85</v>
      </c>
      <c r="X612" s="48">
        <f>ROUND((M612*0.9*J607+1.3*M612*0.9*N607+S612*G607),4)</f>
        <v>137.733</v>
      </c>
      <c r="Y612" s="48">
        <f>ROUND((M612*J607+1.3*M612*N607+S612*G607),4)</f>
        <v>148.83000000000001</v>
      </c>
      <c r="Z612" s="49">
        <f>ROUND((P607*T612*F607*O607/1000000),4)</f>
        <v>2.2700000000000001E-2</v>
      </c>
      <c r="AA612" s="49">
        <f>ROUND((Q607*U612*F607*O607/1000000),4)</f>
        <v>2.4400000000000002E-2</v>
      </c>
      <c r="AB612" s="49">
        <f>ROUND((R607*V612*F607*O607/1000000),4)</f>
        <v>0</v>
      </c>
      <c r="AC612" s="50" t="s">
        <v>170</v>
      </c>
      <c r="AD612" s="51" t="s">
        <v>162</v>
      </c>
      <c r="AE612" s="44">
        <f>ROUND((((X612*E607)/1800)),4)</f>
        <v>7.6499999999999999E-2</v>
      </c>
      <c r="AF612" s="44">
        <f>ROUND(((Z612+AA612+AB612)),4)</f>
        <v>4.7100000000000003E-2</v>
      </c>
    </row>
    <row r="613" spans="1:34" ht="12.95" customHeight="1" x14ac:dyDescent="0.25">
      <c r="A613" s="52"/>
      <c r="B613" s="67" t="s">
        <v>242</v>
      </c>
      <c r="C613" s="46">
        <v>3</v>
      </c>
      <c r="D613" s="45" t="s">
        <v>228</v>
      </c>
      <c r="E613" s="45">
        <v>1</v>
      </c>
      <c r="F613" s="45">
        <v>1</v>
      </c>
      <c r="G613" s="45">
        <v>6</v>
      </c>
      <c r="H613" s="45">
        <v>60</v>
      </c>
      <c r="I613" s="45">
        <f>(8-1-0.75*2)*60*F613-K613-8*0.12*60</f>
        <v>57.900000000000006</v>
      </c>
      <c r="J613" s="45">
        <v>14</v>
      </c>
      <c r="K613" s="45">
        <f>(8-1-0.75*2)*0.65*60*F613</f>
        <v>214.5</v>
      </c>
      <c r="L613" s="48">
        <v>1.49</v>
      </c>
      <c r="M613" s="48">
        <v>1.49</v>
      </c>
      <c r="N613" s="45">
        <v>10</v>
      </c>
      <c r="O613" s="45">
        <f>E613/F613</f>
        <v>1</v>
      </c>
      <c r="P613" s="45">
        <v>180</v>
      </c>
      <c r="Q613" s="45">
        <v>90</v>
      </c>
      <c r="R613" s="47">
        <v>30</v>
      </c>
      <c r="S613" s="47">
        <v>0.28999999999999998</v>
      </c>
      <c r="T613" s="48">
        <f>ROUND((L613*I613+1.3*L613*K613+S613*H613),4)</f>
        <v>519.15750000000003</v>
      </c>
      <c r="U613" s="48">
        <f>ROUND((M613*I613+1.3*M613*K613+S613*H613),4)</f>
        <v>519.15750000000003</v>
      </c>
      <c r="V613" s="48">
        <f>ROUND((M613*I613+1.3*M613*K613+S613*H613),4)</f>
        <v>519.15750000000003</v>
      </c>
      <c r="W613" s="48">
        <f>ROUND((L613*J613+1.3*L613*N613+S613*G613),4)</f>
        <v>41.97</v>
      </c>
      <c r="X613" s="48">
        <f>ROUND((M613*J613+1.3*M613*N613+S613*G613),4)</f>
        <v>41.97</v>
      </c>
      <c r="Y613" s="48">
        <f>ROUND((M613*J613+1.3*M613*N613+S613*G613),4)</f>
        <v>41.97</v>
      </c>
      <c r="Z613" s="49">
        <f>ROUND((P613*T613*F613*O613/1000000),4)</f>
        <v>9.3399999999999997E-2</v>
      </c>
      <c r="AA613" s="49">
        <f>ROUND((Q613*U613*F613*O613/1000000),4)</f>
        <v>4.6699999999999998E-2</v>
      </c>
      <c r="AB613" s="49">
        <f>ROUND((R613*V613*F613*O613/1000000),4)</f>
        <v>1.5599999999999999E-2</v>
      </c>
      <c r="AC613" s="50" t="s">
        <v>200</v>
      </c>
      <c r="AD613" s="51" t="s">
        <v>153</v>
      </c>
      <c r="AE613" s="44">
        <f>ROUND((((X613*E613)/1800)*0.8),4)</f>
        <v>1.8700000000000001E-2</v>
      </c>
      <c r="AF613" s="44">
        <f>ROUND(((Z613+AA613+AB613)*0.8),4)</f>
        <v>0.1246</v>
      </c>
      <c r="AG613" s="88"/>
      <c r="AH613" s="88"/>
    </row>
    <row r="614" spans="1:34" ht="12.95" customHeight="1" x14ac:dyDescent="0.25">
      <c r="A614" s="52"/>
      <c r="B614" s="53" t="s">
        <v>243</v>
      </c>
      <c r="C614" s="52"/>
      <c r="D614" s="52"/>
      <c r="E614" s="52"/>
      <c r="F614" s="52"/>
      <c r="G614" s="52"/>
      <c r="H614" s="52"/>
      <c r="I614" s="52"/>
      <c r="J614" s="52"/>
      <c r="K614" s="52"/>
      <c r="L614" s="56"/>
      <c r="M614" s="56"/>
      <c r="N614" s="52"/>
      <c r="O614" s="52"/>
      <c r="P614" s="52"/>
      <c r="Q614" s="52"/>
      <c r="R614" s="52"/>
      <c r="S614" s="57"/>
      <c r="T614" s="54"/>
      <c r="U614" s="54"/>
      <c r="V614" s="54"/>
      <c r="W614" s="54"/>
      <c r="X614" s="54"/>
      <c r="Y614" s="54"/>
      <c r="Z614" s="54"/>
      <c r="AA614" s="54"/>
      <c r="AB614" s="54"/>
      <c r="AC614" s="50" t="s">
        <v>201</v>
      </c>
      <c r="AD614" s="51" t="s">
        <v>202</v>
      </c>
      <c r="AE614" s="44">
        <f>ROUND((((X613*E613)/1800)*0.13),4)</f>
        <v>3.0000000000000001E-3</v>
      </c>
      <c r="AF614" s="44">
        <f>ROUND(((Z613+AA613+AB613)*0.13),4)</f>
        <v>2.0199999999999999E-2</v>
      </c>
      <c r="AG614" s="88"/>
      <c r="AH614" s="88"/>
    </row>
    <row r="615" spans="1:34" ht="12.95" customHeight="1" x14ac:dyDescent="0.25">
      <c r="A615" s="52"/>
      <c r="B615" s="88"/>
      <c r="C615" s="55"/>
      <c r="D615" s="55"/>
      <c r="E615" s="52"/>
      <c r="F615" s="52"/>
      <c r="G615" s="52"/>
      <c r="H615" s="52"/>
      <c r="I615" s="52"/>
      <c r="J615" s="52"/>
      <c r="K615" s="52"/>
      <c r="L615" s="59">
        <v>0.12</v>
      </c>
      <c r="M615" s="59">
        <v>0.15</v>
      </c>
      <c r="N615" s="52"/>
      <c r="O615" s="52"/>
      <c r="P615" s="52"/>
      <c r="Q615" s="52"/>
      <c r="R615" s="52"/>
      <c r="S615" s="60">
        <v>5.8000000000000003E-2</v>
      </c>
      <c r="T615" s="48">
        <f>ROUND((L615*I613+1.3*L615*K613+S615*H613),4)</f>
        <v>43.89</v>
      </c>
      <c r="U615" s="48">
        <f>ROUND((M615*0.9*I613+1.3*M615*0.9*K613+S615*H613),4)</f>
        <v>48.941299999999998</v>
      </c>
      <c r="V615" s="48">
        <f>ROUND((M615*I613+1.3*M615*K613+S615*H613),4)</f>
        <v>53.9925</v>
      </c>
      <c r="W615" s="48">
        <f>ROUND((L615*J613+1.3*L615*N613+S615*G613),4)</f>
        <v>3.5880000000000001</v>
      </c>
      <c r="X615" s="48">
        <f>ROUND((M615*0.9*J613+1.3*M615*0.9*N613+S615*G613),4)</f>
        <v>3.9929999999999999</v>
      </c>
      <c r="Y615" s="48">
        <f>ROUND((M615*J613+1.3*M615*N613+S615*G613),4)</f>
        <v>4.3979999999999997</v>
      </c>
      <c r="Z615" s="49">
        <f>ROUND((P613*T615*F613*O613/1000000),4)</f>
        <v>7.9000000000000008E-3</v>
      </c>
      <c r="AA615" s="49">
        <f>ROUND((Q613*U615*F613*O613/1000000),4)</f>
        <v>4.4000000000000003E-3</v>
      </c>
      <c r="AB615" s="49">
        <f>ROUND((R613*V615*F613*O613/1000000),4)</f>
        <v>1.6000000000000001E-3</v>
      </c>
      <c r="AC615" s="50" t="s">
        <v>203</v>
      </c>
      <c r="AD615" s="51" t="s">
        <v>204</v>
      </c>
      <c r="AE615" s="44">
        <f>ROUND((((X615*E613)/1800)),4)</f>
        <v>2.2000000000000001E-3</v>
      </c>
      <c r="AF615" s="44">
        <f>ROUND(((Z615+AA615+AB615)),5)</f>
        <v>1.3899999999999999E-2</v>
      </c>
      <c r="AG615" s="88"/>
      <c r="AH615" s="88"/>
    </row>
    <row r="616" spans="1:34" ht="12.95" customHeight="1" x14ac:dyDescent="0.25">
      <c r="A616" s="52"/>
      <c r="B616" s="88"/>
      <c r="C616" s="52"/>
      <c r="D616" s="52"/>
      <c r="E616" s="52"/>
      <c r="F616" s="52"/>
      <c r="G616" s="52"/>
      <c r="H616" s="52"/>
      <c r="I616" s="52"/>
      <c r="J616" s="52"/>
      <c r="K616" s="52"/>
      <c r="L616" s="59">
        <v>0.26</v>
      </c>
      <c r="M616" s="59">
        <v>0.31</v>
      </c>
      <c r="N616" s="52"/>
      <c r="O616" s="52"/>
      <c r="P616" s="52"/>
      <c r="Q616" s="52"/>
      <c r="R616" s="52"/>
      <c r="S616" s="61">
        <v>0.18</v>
      </c>
      <c r="T616" s="48">
        <f>ROUND((L616*I613+1.3*L616*K613+S616*H613),4)</f>
        <v>98.355000000000004</v>
      </c>
      <c r="U616" s="48">
        <f>ROUND((M616*0.9*I613+1.3*M616*0.9*K613+S616*H613),4)</f>
        <v>104.7533</v>
      </c>
      <c r="V616" s="48">
        <f>ROUND((M616*I613+1.3*M616*K613+S616*H613),4)</f>
        <v>115.1925</v>
      </c>
      <c r="W616" s="48">
        <f>ROUND((L616*J613+1.3*L616*N613+S616*G613),4)</f>
        <v>8.1</v>
      </c>
      <c r="X616" s="48">
        <f>ROUND((M616*0.9*J613+1.3*M616*0.9*N613+S616*G613),4)</f>
        <v>8.6129999999999995</v>
      </c>
      <c r="Y616" s="48">
        <f>ROUND((M616*J613+1.3*N613+S616*G613),4)</f>
        <v>18.420000000000002</v>
      </c>
      <c r="Z616" s="49">
        <f>ROUND((P613*T616*F613*O613/1000000),4)</f>
        <v>1.77E-2</v>
      </c>
      <c r="AA616" s="49">
        <f>ROUND((Q613*U616*F613*O613/1000000),4)</f>
        <v>9.4000000000000004E-3</v>
      </c>
      <c r="AB616" s="49">
        <f>ROUND((R613*V616*F613*O613/1000000),4)</f>
        <v>3.5000000000000001E-3</v>
      </c>
      <c r="AC616" s="50" t="s">
        <v>205</v>
      </c>
      <c r="AD616" s="51" t="s">
        <v>206</v>
      </c>
      <c r="AE616" s="44">
        <f>ROUND((((X616*E613)/1800)),4)</f>
        <v>4.7999999999999996E-3</v>
      </c>
      <c r="AF616" s="44">
        <f>ROUND(((Z616+AA616+AB616)),4)</f>
        <v>3.0599999999999999E-2</v>
      </c>
      <c r="AG616" s="88"/>
      <c r="AH616" s="88"/>
    </row>
    <row r="617" spans="1:34" ht="12.95" customHeight="1" x14ac:dyDescent="0.25">
      <c r="A617" s="52"/>
      <c r="B617" s="53"/>
      <c r="C617" s="52"/>
      <c r="D617" s="52"/>
      <c r="E617" s="52"/>
      <c r="F617" s="63"/>
      <c r="G617" s="52"/>
      <c r="H617" s="52"/>
      <c r="I617" s="52"/>
      <c r="J617" s="52"/>
      <c r="K617" s="52"/>
      <c r="L617" s="59">
        <v>0.17</v>
      </c>
      <c r="M617" s="59">
        <v>0.25</v>
      </c>
      <c r="N617" s="52"/>
      <c r="O617" s="52"/>
      <c r="P617" s="52"/>
      <c r="Q617" s="52"/>
      <c r="R617" s="52"/>
      <c r="S617" s="61">
        <v>0.04</v>
      </c>
      <c r="T617" s="48">
        <f>ROUND((L617*I613+1.3*L617*K613+S617*H613),4)</f>
        <v>59.647500000000001</v>
      </c>
      <c r="U617" s="48">
        <f>ROUND((M617*0.9*I613+1.3*M617*0.9*K613+S617*H613),4)</f>
        <v>78.168800000000005</v>
      </c>
      <c r="V617" s="48">
        <f>ROUND((M617*I613+1.3*M617*K613+S617*H613),4)</f>
        <v>86.587500000000006</v>
      </c>
      <c r="W617" s="48">
        <f>ROUND((L617*J613+1.3*L617*N613+S617*G613),4)</f>
        <v>4.83</v>
      </c>
      <c r="X617" s="48">
        <f>ROUND((M617*0.9*J613+1.3*M617*0.9*N613+S617*G613),4)</f>
        <v>6.3150000000000004</v>
      </c>
      <c r="Y617" s="48">
        <f>ROUND((M617*J613+1.3*M617*N613+S617*G613),4)</f>
        <v>6.99</v>
      </c>
      <c r="Z617" s="49">
        <f>ROUND((P613*T617*F613*O613/1000000),4)</f>
        <v>1.0699999999999999E-2</v>
      </c>
      <c r="AA617" s="49">
        <f>ROUND((Q613*U617*F613*O613/1000000),4)</f>
        <v>7.0000000000000001E-3</v>
      </c>
      <c r="AB617" s="49">
        <f>ROUND((R613*V617*F613*O613/1000000),4)</f>
        <v>2.5999999999999999E-3</v>
      </c>
      <c r="AC617" s="50" t="s">
        <v>250</v>
      </c>
      <c r="AD617" s="51" t="s">
        <v>208</v>
      </c>
      <c r="AE617" s="44">
        <f>ROUND((((X617*E613)/1800)),4)</f>
        <v>3.5000000000000001E-3</v>
      </c>
      <c r="AF617" s="44">
        <f>ROUND(((Z617+AA617+AB617)),4)</f>
        <v>2.0299999999999999E-2</v>
      </c>
      <c r="AG617" s="88"/>
      <c r="AH617" s="88"/>
    </row>
    <row r="618" spans="1:34" ht="12.95" customHeight="1" x14ac:dyDescent="0.25">
      <c r="A618" s="56"/>
      <c r="B618" s="62"/>
      <c r="C618" s="56"/>
      <c r="D618" s="56"/>
      <c r="E618" s="56"/>
      <c r="F618" s="66"/>
      <c r="G618" s="56"/>
      <c r="H618" s="56"/>
      <c r="I618" s="56"/>
      <c r="J618" s="56"/>
      <c r="K618" s="56"/>
      <c r="L618" s="59">
        <v>0.77</v>
      </c>
      <c r="M618" s="59">
        <v>0.94</v>
      </c>
      <c r="N618" s="56"/>
      <c r="O618" s="56"/>
      <c r="P618" s="56"/>
      <c r="Q618" s="56"/>
      <c r="R618" s="56"/>
      <c r="S618" s="61">
        <v>1.44</v>
      </c>
      <c r="T618" s="48">
        <f>ROUND((L618*I613+1.3*L618*K613+S618*H613),4)</f>
        <v>345.69749999999999</v>
      </c>
      <c r="U618" s="48">
        <f>ROUND((M618*0.9*I613+1.3*M618*0.9*K613+S618*H613),4)</f>
        <v>371.29050000000001</v>
      </c>
      <c r="V618" s="48">
        <f>ROUND((M618*I613+1.3*M618*K613+S618*H613),4)</f>
        <v>402.94499999999999</v>
      </c>
      <c r="W618" s="48">
        <f>ROUND((L618*J613+1.3*L618*N613+S618*G613),4)</f>
        <v>29.43</v>
      </c>
      <c r="X618" s="48">
        <f>ROUND((M618*0.9*J613+1.3*M618*0.9*N613+S618*G613),4)</f>
        <v>31.481999999999999</v>
      </c>
      <c r="Y618" s="48">
        <f>ROUND((M618*J613+1.3*M618*N613+S618*G613),4)</f>
        <v>34.020000000000003</v>
      </c>
      <c r="Z618" s="49">
        <f>ROUND((P613*T618*F613*O613/1000000),4)</f>
        <v>6.2199999999999998E-2</v>
      </c>
      <c r="AA618" s="49">
        <f>ROUND((Q613*U618*F613*O613/1000000),4)</f>
        <v>3.3399999999999999E-2</v>
      </c>
      <c r="AB618" s="49">
        <f>ROUND((R613*V618*F613*O613/1000000),4)</f>
        <v>1.21E-2</v>
      </c>
      <c r="AC618" s="50" t="s">
        <v>170</v>
      </c>
      <c r="AD618" s="51" t="s">
        <v>162</v>
      </c>
      <c r="AE618" s="44">
        <f>ROUND((((X618*E613)/1800)),4)</f>
        <v>1.7500000000000002E-2</v>
      </c>
      <c r="AF618" s="44">
        <f>ROUND(((Z618+AA618+AB618)),4)</f>
        <v>0.1077</v>
      </c>
      <c r="AG618" s="87"/>
      <c r="AH618" s="87"/>
    </row>
    <row r="619" spans="1:34" s="285" customFormat="1" ht="12.95" customHeight="1" x14ac:dyDescent="0.2">
      <c r="A619" s="1057" t="s">
        <v>553</v>
      </c>
      <c r="B619" s="1058"/>
      <c r="C619" s="1058"/>
      <c r="D619" s="1058"/>
      <c r="E619" s="1058"/>
      <c r="F619" s="1058"/>
      <c r="G619" s="1058"/>
      <c r="H619" s="1058"/>
      <c r="I619" s="1058"/>
      <c r="J619" s="1058"/>
      <c r="K619" s="1058"/>
      <c r="L619" s="1058"/>
      <c r="M619" s="1058"/>
      <c r="N619" s="1058"/>
      <c r="O619" s="1058"/>
      <c r="P619" s="1058"/>
      <c r="Q619" s="1058"/>
      <c r="R619" s="1058"/>
      <c r="S619" s="1059"/>
      <c r="T619" s="280">
        <f>ROUND((L619*I619+1.3*L619*K619+S619*H619),4)</f>
        <v>0</v>
      </c>
      <c r="U619" s="280">
        <f>ROUND((M619*I619+1.3*M619*K619+S619*H619),4)</f>
        <v>0</v>
      </c>
      <c r="V619" s="280">
        <f>ROUND((M619*I619+1.3*M619*K619+S619*H619),4)</f>
        <v>0</v>
      </c>
      <c r="W619" s="280">
        <f>ROUND((L619*J619+1.3*L619*N619+S619*G619),4)</f>
        <v>0</v>
      </c>
      <c r="X619" s="280">
        <f>ROUND((M619*J619+1.3*M619*N619+S619*G619),4)</f>
        <v>0</v>
      </c>
      <c r="Y619" s="280">
        <f>ROUND((M619*J619+1.3*M619*N619+S619*G619),4)</f>
        <v>0</v>
      </c>
      <c r="Z619" s="281">
        <f>ROUND((P619*T619*F619*O619/1000000),4)</f>
        <v>0</v>
      </c>
      <c r="AA619" s="281">
        <f>ROUND((Q619*U619*F619*O619/1000000),4)</f>
        <v>0</v>
      </c>
      <c r="AB619" s="281">
        <f>ROUND((R619*V619*F619*O619/1000000),4)</f>
        <v>0</v>
      </c>
      <c r="AC619" s="282" t="s">
        <v>200</v>
      </c>
      <c r="AD619" s="283" t="s">
        <v>153</v>
      </c>
      <c r="AE619" s="284">
        <f>MAX(AE535,AE541,AE547,AE553,AE559,AE565,AE571,AE577,AE583,AE589,AE595,AE601,AE607,AE613)</f>
        <v>0.12720000000000001</v>
      </c>
      <c r="AF619" s="284">
        <f>AF535+AF541+AF547+AF553+AF559+AF565+AF571+AF577+AF583+AF589+AF595+AF601+AF607+AF613</f>
        <v>3.4813000000000005</v>
      </c>
      <c r="AG619" s="292"/>
      <c r="AH619" s="292"/>
    </row>
    <row r="620" spans="1:34" s="285" customFormat="1" ht="12.95" customHeight="1" x14ac:dyDescent="0.2">
      <c r="A620" s="1057"/>
      <c r="B620" s="1060"/>
      <c r="C620" s="1060"/>
      <c r="D620" s="1060"/>
      <c r="E620" s="1060"/>
      <c r="F620" s="1060"/>
      <c r="G620" s="1060"/>
      <c r="H620" s="1060"/>
      <c r="I620" s="1060"/>
      <c r="J620" s="1060"/>
      <c r="K620" s="1060"/>
      <c r="L620" s="1060"/>
      <c r="M620" s="1060"/>
      <c r="N620" s="1060"/>
      <c r="O620" s="1060"/>
      <c r="P620" s="1060"/>
      <c r="Q620" s="1060"/>
      <c r="R620" s="1060"/>
      <c r="S620" s="1061"/>
      <c r="T620" s="286"/>
      <c r="U620" s="286"/>
      <c r="V620" s="286"/>
      <c r="W620" s="286"/>
      <c r="X620" s="286"/>
      <c r="Y620" s="286"/>
      <c r="Z620" s="286"/>
      <c r="AA620" s="286"/>
      <c r="AB620" s="286"/>
      <c r="AC620" s="282" t="s">
        <v>201</v>
      </c>
      <c r="AD620" s="283" t="s">
        <v>202</v>
      </c>
      <c r="AE620" s="284">
        <f t="shared" ref="AE620:AE624" si="10">MAX(AE536,AE542,AE548,AE554,AE560,AE566,AE572,AE578,AE584,AE590,AE596,AE602,AE608,AE614)</f>
        <v>2.07E-2</v>
      </c>
      <c r="AF620" s="284">
        <f t="shared" ref="AF620:AF624" si="11">AF536+AF542+AF548+AF554+AF560+AF566+AF572+AF578+AF584+AF590+AF596+AF602+AF608+AF614</f>
        <v>0.56580000000000008</v>
      </c>
      <c r="AG620" s="292"/>
      <c r="AH620" s="292"/>
    </row>
    <row r="621" spans="1:34" s="285" customFormat="1" ht="12.95" customHeight="1" x14ac:dyDescent="0.2">
      <c r="A621" s="1057"/>
      <c r="B621" s="1060"/>
      <c r="C621" s="1060"/>
      <c r="D621" s="1060"/>
      <c r="E621" s="1060"/>
      <c r="F621" s="1060"/>
      <c r="G621" s="1060"/>
      <c r="H621" s="1060"/>
      <c r="I621" s="1060"/>
      <c r="J621" s="1060"/>
      <c r="K621" s="1060"/>
      <c r="L621" s="1060"/>
      <c r="M621" s="1060"/>
      <c r="N621" s="1060"/>
      <c r="O621" s="1060"/>
      <c r="P621" s="1060"/>
      <c r="Q621" s="1060"/>
      <c r="R621" s="1060"/>
      <c r="S621" s="1061"/>
      <c r="T621" s="280">
        <f>ROUND((L621*I619+1.3*L621*K619+S621*H619),4)</f>
        <v>0</v>
      </c>
      <c r="U621" s="280">
        <f>ROUND((M621*0.9*I619+1.3*M621*0.9*K619+S621*H619),4)</f>
        <v>0</v>
      </c>
      <c r="V621" s="280">
        <f>ROUND((M621*I619+1.3*M621*K619+S621*H619),4)</f>
        <v>0</v>
      </c>
      <c r="W621" s="280">
        <f>ROUND((L621*J619+1.3*L621*N619+S621*G619),4)</f>
        <v>0</v>
      </c>
      <c r="X621" s="280">
        <f>ROUND((M621*0.9*J619+1.3*M621*0.9*N619+S621*G619),4)</f>
        <v>0</v>
      </c>
      <c r="Y621" s="280">
        <f>ROUND((M621*J619+1.3*M621*N619+S621*G619),4)</f>
        <v>0</v>
      </c>
      <c r="Z621" s="281">
        <f>ROUND((P619*T621*F619*O619/1000000),4)</f>
        <v>0</v>
      </c>
      <c r="AA621" s="281">
        <f>ROUND((Q619*U621*F619*O619/1000000),4)</f>
        <v>0</v>
      </c>
      <c r="AB621" s="281">
        <f>ROUND((R619*V621*F619*O619/1000000),4)</f>
        <v>0</v>
      </c>
      <c r="AC621" s="282" t="s">
        <v>203</v>
      </c>
      <c r="AD621" s="283" t="s">
        <v>204</v>
      </c>
      <c r="AE621" s="284">
        <f t="shared" si="10"/>
        <v>1.4500000000000001E-2</v>
      </c>
      <c r="AF621" s="284">
        <f t="shared" si="11"/>
        <v>0.38640000000000008</v>
      </c>
      <c r="AG621" s="292"/>
      <c r="AH621" s="292"/>
    </row>
    <row r="622" spans="1:34" s="285" customFormat="1" ht="12.95" customHeight="1" x14ac:dyDescent="0.2">
      <c r="A622" s="1057"/>
      <c r="B622" s="1060"/>
      <c r="C622" s="1060"/>
      <c r="D622" s="1060"/>
      <c r="E622" s="1060"/>
      <c r="F622" s="1060"/>
      <c r="G622" s="1060"/>
      <c r="H622" s="1060"/>
      <c r="I622" s="1060"/>
      <c r="J622" s="1060"/>
      <c r="K622" s="1060"/>
      <c r="L622" s="1060"/>
      <c r="M622" s="1060"/>
      <c r="N622" s="1060"/>
      <c r="O622" s="1060"/>
      <c r="P622" s="1060"/>
      <c r="Q622" s="1060"/>
      <c r="R622" s="1060"/>
      <c r="S622" s="1061"/>
      <c r="T622" s="280">
        <f>ROUND((L622*I619+1.3*L622*K619+S622*H619),4)</f>
        <v>0</v>
      </c>
      <c r="U622" s="280">
        <f>ROUND((M622*0.9*I619+1.3*M622*0.9*K619+S622*H619),4)</f>
        <v>0</v>
      </c>
      <c r="V622" s="280">
        <f>ROUND((M622*I619+1.3*M622*K619+S622*H619),4)</f>
        <v>0</v>
      </c>
      <c r="W622" s="280">
        <f>ROUND((L622*J619+1.3*L622*N619+S622*G619),4)</f>
        <v>0</v>
      </c>
      <c r="X622" s="280">
        <f>ROUND((M622*0.9*J619+1.3*M622*0.9*N619+S622*G619),4)</f>
        <v>0</v>
      </c>
      <c r="Y622" s="280">
        <f>ROUND((M622*J619+1.3*N619+S622*G619),4)</f>
        <v>0</v>
      </c>
      <c r="Z622" s="281">
        <f>ROUND((P619*T622*F619*O619/1000000),4)</f>
        <v>0</v>
      </c>
      <c r="AA622" s="281">
        <f>ROUND((Q619*U622*F619*O619/1000000),4)</f>
        <v>0</v>
      </c>
      <c r="AB622" s="281">
        <f>ROUND((R619*V622*F619*O619/1000000),4)</f>
        <v>0</v>
      </c>
      <c r="AC622" s="282" t="s">
        <v>205</v>
      </c>
      <c r="AD622" s="283" t="s">
        <v>206</v>
      </c>
      <c r="AE622" s="284">
        <f t="shared" si="10"/>
        <v>3.32E-2</v>
      </c>
      <c r="AF622" s="284">
        <f t="shared" si="11"/>
        <v>0.84650000000000003</v>
      </c>
      <c r="AG622" s="292"/>
      <c r="AH622" s="292"/>
    </row>
    <row r="623" spans="1:34" s="285" customFormat="1" ht="12.95" customHeight="1" x14ac:dyDescent="0.2">
      <c r="A623" s="1057"/>
      <c r="B623" s="1060"/>
      <c r="C623" s="1060"/>
      <c r="D623" s="1060"/>
      <c r="E623" s="1060"/>
      <c r="F623" s="1060"/>
      <c r="G623" s="1060"/>
      <c r="H623" s="1060"/>
      <c r="I623" s="1060"/>
      <c r="J623" s="1060"/>
      <c r="K623" s="1060"/>
      <c r="L623" s="1060"/>
      <c r="M623" s="1060"/>
      <c r="N623" s="1060"/>
      <c r="O623" s="1060"/>
      <c r="P623" s="1060"/>
      <c r="Q623" s="1060"/>
      <c r="R623" s="1060"/>
      <c r="S623" s="1061"/>
      <c r="T623" s="280">
        <f>ROUND((L623*I619+1.3*L623*K619+S623*H619),4)</f>
        <v>0</v>
      </c>
      <c r="U623" s="280">
        <f>ROUND((M623*0.9*I619+1.3*M623*0.9*K619+S623*H619),4)</f>
        <v>0</v>
      </c>
      <c r="V623" s="280">
        <f>ROUND((M623*I619+1.3*M623*K619+S623*H619),4)</f>
        <v>0</v>
      </c>
      <c r="W623" s="280">
        <f>ROUND((L623*J619+1.3*L623*N619+S623*G619),4)</f>
        <v>0</v>
      </c>
      <c r="X623" s="280">
        <f>ROUND((M623*0.9*J619+1.3*M623*0.9*N619+S623*G619),4)</f>
        <v>0</v>
      </c>
      <c r="Y623" s="280">
        <f>ROUND((M623*J619+1.3*M623*N619+S623*G619),4)</f>
        <v>0</v>
      </c>
      <c r="Z623" s="281">
        <f>ROUND((P619*T623*F619*O619/1000000),4)</f>
        <v>0</v>
      </c>
      <c r="AA623" s="281">
        <f>ROUND((Q619*U623*F619*O619/1000000),4)</f>
        <v>0</v>
      </c>
      <c r="AB623" s="281">
        <f>ROUND((R619*V623*F619*O619/1000000),4)</f>
        <v>0</v>
      </c>
      <c r="AC623" s="282" t="s">
        <v>250</v>
      </c>
      <c r="AD623" s="283" t="s">
        <v>208</v>
      </c>
      <c r="AE623" s="284">
        <f t="shared" si="10"/>
        <v>2.3800000000000002E-2</v>
      </c>
      <c r="AF623" s="284">
        <f t="shared" si="11"/>
        <v>0.54239999999999999</v>
      </c>
      <c r="AG623" s="292"/>
      <c r="AH623" s="292"/>
    </row>
    <row r="624" spans="1:34" s="285" customFormat="1" ht="12.95" customHeight="1" x14ac:dyDescent="0.2">
      <c r="A624" s="1062"/>
      <c r="B624" s="1063"/>
      <c r="C624" s="1063"/>
      <c r="D624" s="1063"/>
      <c r="E624" s="1063"/>
      <c r="F624" s="1063"/>
      <c r="G624" s="1063"/>
      <c r="H624" s="1063"/>
      <c r="I624" s="1063"/>
      <c r="J624" s="1063"/>
      <c r="K624" s="1063"/>
      <c r="L624" s="1063"/>
      <c r="M624" s="1063"/>
      <c r="N624" s="1063"/>
      <c r="O624" s="1063"/>
      <c r="P624" s="1063"/>
      <c r="Q624" s="1063"/>
      <c r="R624" s="1063"/>
      <c r="S624" s="1064"/>
      <c r="T624" s="280">
        <f>ROUND((L624*I619+1.3*L624*K619+S624*H619),4)</f>
        <v>0</v>
      </c>
      <c r="U624" s="280">
        <f>ROUND((M624*0.9*I619+1.3*M624*0.9*K619+S624*H619),4)</f>
        <v>0</v>
      </c>
      <c r="V624" s="280">
        <f>ROUND((M624*I619+1.3*M624*K619+S624*H619),4)</f>
        <v>0</v>
      </c>
      <c r="W624" s="280">
        <f>ROUND((L624*J619+1.3*L624*N619+S624*G619),4)</f>
        <v>0</v>
      </c>
      <c r="X624" s="280">
        <f>ROUND((M624*0.9*J619+1.3*M624*0.9*N619+S624*G619),4)</f>
        <v>0</v>
      </c>
      <c r="Y624" s="280">
        <f>ROUND((M624*J619+1.3*M624*N619+S624*G619),4)</f>
        <v>0</v>
      </c>
      <c r="Z624" s="281">
        <f>ROUND((P619*T624*F619*O619/1000000),4)</f>
        <v>0</v>
      </c>
      <c r="AA624" s="281">
        <f>ROUND((Q619*U624*F619*O619/1000000),4)</f>
        <v>0</v>
      </c>
      <c r="AB624" s="281">
        <f>ROUND((R619*V624*F619*O619/1000000),4)</f>
        <v>0</v>
      </c>
      <c r="AC624" s="282" t="s">
        <v>170</v>
      </c>
      <c r="AD624" s="283" t="s">
        <v>162</v>
      </c>
      <c r="AE624" s="284">
        <f t="shared" si="10"/>
        <v>0.12039999999999999</v>
      </c>
      <c r="AF624" s="284">
        <f t="shared" si="11"/>
        <v>2.8967999999999994</v>
      </c>
      <c r="AG624" s="290">
        <f>SUM(AE619:AE624)</f>
        <v>0.33980000000000005</v>
      </c>
      <c r="AH624" s="290">
        <f>SUM(AF619:AF624)</f>
        <v>8.719199999999999</v>
      </c>
    </row>
    <row r="625" spans="1:32" s="285" customFormat="1" ht="12.95" customHeight="1" x14ac:dyDescent="0.2">
      <c r="A625" s="1068" t="s">
        <v>111</v>
      </c>
      <c r="B625" s="1069"/>
      <c r="C625" s="1069"/>
      <c r="D625" s="1069"/>
      <c r="E625" s="1069"/>
      <c r="F625" s="1069"/>
      <c r="G625" s="1069"/>
      <c r="H625" s="1069"/>
      <c r="I625" s="1069"/>
      <c r="J625" s="1069"/>
      <c r="K625" s="1069"/>
      <c r="L625" s="1069"/>
      <c r="M625" s="1069"/>
      <c r="N625" s="1069"/>
      <c r="O625" s="1069"/>
      <c r="P625" s="1069"/>
      <c r="Q625" s="1069"/>
      <c r="R625" s="1069"/>
      <c r="S625" s="1069"/>
      <c r="T625" s="1069"/>
      <c r="U625" s="1069"/>
      <c r="V625" s="1069"/>
      <c r="W625" s="1069"/>
      <c r="X625" s="1069"/>
      <c r="Y625" s="1069"/>
      <c r="Z625" s="1069"/>
      <c r="AA625" s="1069"/>
      <c r="AB625" s="1069"/>
      <c r="AC625" s="1069"/>
      <c r="AD625" s="1069"/>
      <c r="AE625" s="1069"/>
      <c r="AF625" s="1070"/>
    </row>
    <row r="626" spans="1:32" ht="12.95" customHeight="1" x14ac:dyDescent="0.25">
      <c r="A626" s="45">
        <v>8030</v>
      </c>
      <c r="B626" s="46" t="s">
        <v>218</v>
      </c>
      <c r="C626" s="45">
        <v>4</v>
      </c>
      <c r="D626" s="45" t="s">
        <v>199</v>
      </c>
      <c r="E626" s="45">
        <v>1</v>
      </c>
      <c r="F626" s="45">
        <v>1</v>
      </c>
      <c r="G626" s="45">
        <v>6</v>
      </c>
      <c r="H626" s="45">
        <v>60</v>
      </c>
      <c r="I626" s="45">
        <f>(8-1-0.75*2)*60*F626-K626-8*0.12*60</f>
        <v>57.900000000000006</v>
      </c>
      <c r="J626" s="45">
        <v>14</v>
      </c>
      <c r="K626" s="45">
        <f>(8-1-0.75*2)*0.65*60*F626</f>
        <v>214.5</v>
      </c>
      <c r="L626" s="45">
        <v>2.4700000000000002</v>
      </c>
      <c r="M626" s="45">
        <v>2.4700000000000002</v>
      </c>
      <c r="N626" s="45">
        <v>10</v>
      </c>
      <c r="O626" s="45">
        <f>E626/F626</f>
        <v>1</v>
      </c>
      <c r="P626" s="45">
        <v>180</v>
      </c>
      <c r="Q626" s="45">
        <v>0</v>
      </c>
      <c r="R626" s="47">
        <v>0</v>
      </c>
      <c r="S626" s="45">
        <v>0.48</v>
      </c>
      <c r="T626" s="48">
        <f>ROUND((L626*I626+1.3*L626*K626+S626*H626),4)</f>
        <v>860.57249999999999</v>
      </c>
      <c r="U626" s="48">
        <f>ROUND((M626*I626+1.3*M626*K626+S626*H626),4)</f>
        <v>860.57249999999999</v>
      </c>
      <c r="V626" s="48">
        <f>ROUND((M626*I626+1.3*M626*K626+S626*H626),4)</f>
        <v>860.57249999999999</v>
      </c>
      <c r="W626" s="48">
        <f>ROUND((L626*J626+1.3*L626*N626+S626*G626),4)</f>
        <v>69.569999999999993</v>
      </c>
      <c r="X626" s="48">
        <f>ROUND((M626*J626+1.3*M626*N626+S626*G626),4)</f>
        <v>69.569999999999993</v>
      </c>
      <c r="Y626" s="48">
        <f>ROUND((M626*J626+1.3*M626*N626+S626*G626),4)</f>
        <v>69.569999999999993</v>
      </c>
      <c r="Z626" s="49">
        <f>ROUND((P626*T626*F626*O626/1000000),4)</f>
        <v>0.15490000000000001</v>
      </c>
      <c r="AA626" s="49">
        <f>ROUND((Q626*U626*F626*O626/1000000),4)</f>
        <v>0</v>
      </c>
      <c r="AB626" s="49">
        <f>ROUND((R626*V626*F626*O626/1000000),4)</f>
        <v>0</v>
      </c>
      <c r="AC626" s="50" t="s">
        <v>200</v>
      </c>
      <c r="AD626" s="51" t="s">
        <v>153</v>
      </c>
      <c r="AE626" s="44">
        <f>ROUND((((X626*E626)/1800)*0.8),4)</f>
        <v>3.09E-2</v>
      </c>
      <c r="AF626" s="44">
        <f>ROUND(((Z626+AA626+AB626)*0.8),4)</f>
        <v>0.1239</v>
      </c>
    </row>
    <row r="627" spans="1:32" ht="12.95" customHeight="1" x14ac:dyDescent="0.25">
      <c r="A627" s="63"/>
      <c r="B627" s="53" t="s">
        <v>219</v>
      </c>
      <c r="C627" s="52"/>
      <c r="D627" s="52"/>
      <c r="E627" s="52"/>
      <c r="F627" s="63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68"/>
      <c r="T627" s="54"/>
      <c r="U627" s="54"/>
      <c r="V627" s="54"/>
      <c r="W627" s="54"/>
      <c r="X627" s="54"/>
      <c r="Y627" s="54"/>
      <c r="Z627" s="54"/>
      <c r="AA627" s="54"/>
      <c r="AB627" s="54"/>
      <c r="AC627" s="50" t="s">
        <v>201</v>
      </c>
      <c r="AD627" s="51" t="s">
        <v>202</v>
      </c>
      <c r="AE627" s="44">
        <f>ROUND((((X626*E626)/1800)*0.13),4)</f>
        <v>5.0000000000000001E-3</v>
      </c>
      <c r="AF627" s="44">
        <f>ROUND(((Z626+AA626+AB626)*0.13),4)</f>
        <v>2.01E-2</v>
      </c>
    </row>
    <row r="628" spans="1:32" ht="12.95" customHeight="1" x14ac:dyDescent="0.25">
      <c r="A628" s="63"/>
      <c r="B628" s="53"/>
      <c r="C628" s="55"/>
      <c r="D628" s="55"/>
      <c r="E628" s="52"/>
      <c r="F628" s="63"/>
      <c r="G628" s="52"/>
      <c r="H628" s="52"/>
      <c r="I628" s="52"/>
      <c r="J628" s="52"/>
      <c r="K628" s="52"/>
      <c r="L628" s="52">
        <v>0.19</v>
      </c>
      <c r="M628" s="52">
        <v>0.23</v>
      </c>
      <c r="N628" s="52"/>
      <c r="O628" s="52"/>
      <c r="P628" s="52"/>
      <c r="Q628" s="52"/>
      <c r="R628" s="52"/>
      <c r="S628" s="69">
        <v>9.7000000000000003E-2</v>
      </c>
      <c r="T628" s="48">
        <f>ROUND((L628*I626+1.3*L628*K626+S628*H626),4)</f>
        <v>69.802499999999995</v>
      </c>
      <c r="U628" s="48">
        <f>ROUND((M628*0.9*I626+1.3*M628*0.9*K626+S628*H626),4)</f>
        <v>75.527299999999997</v>
      </c>
      <c r="V628" s="48">
        <f>ROUND((M628*I626+1.3*M628*K626+S628*H626),4)</f>
        <v>83.272499999999994</v>
      </c>
      <c r="W628" s="48">
        <f>ROUND((L628*J626+1.3*L628*N626+S628*G626),4)</f>
        <v>5.7119999999999997</v>
      </c>
      <c r="X628" s="48">
        <f>ROUND((M628*0.9*J626+1.3*M628*0.9*N626+S628*G626),4)</f>
        <v>6.1710000000000003</v>
      </c>
      <c r="Y628" s="48">
        <f>ROUND((M628*J626+1.3*M628*N626+S628*G626),4)</f>
        <v>6.7919999999999998</v>
      </c>
      <c r="Z628" s="49">
        <f>ROUND((P626*T628*F626*O626/1000000),4)</f>
        <v>1.26E-2</v>
      </c>
      <c r="AA628" s="49">
        <f>ROUND((Q626*U628*F626*O626/1000000),4)</f>
        <v>0</v>
      </c>
      <c r="AB628" s="49">
        <f>ROUND((R626*V628*F626*O626/1000000),4)</f>
        <v>0</v>
      </c>
      <c r="AC628" s="50" t="s">
        <v>203</v>
      </c>
      <c r="AD628" s="51" t="s">
        <v>204</v>
      </c>
      <c r="AE628" s="44">
        <f>ROUND((((X628*E626)/1800)),4)</f>
        <v>3.3999999999999998E-3</v>
      </c>
      <c r="AF628" s="44">
        <f>ROUND(((Z628+AA628+AB628)),5)</f>
        <v>1.26E-2</v>
      </c>
    </row>
    <row r="629" spans="1:32" ht="12.95" customHeight="1" x14ac:dyDescent="0.25">
      <c r="A629" s="63"/>
      <c r="B629" s="98"/>
      <c r="C629" s="52"/>
      <c r="D629" s="52"/>
      <c r="E629" s="52"/>
      <c r="F629" s="63"/>
      <c r="G629" s="52"/>
      <c r="H629" s="52"/>
      <c r="I629" s="52"/>
      <c r="J629" s="52"/>
      <c r="K629" s="52"/>
      <c r="L629" s="52">
        <v>0.43</v>
      </c>
      <c r="M629" s="52">
        <v>0.51</v>
      </c>
      <c r="N629" s="52"/>
      <c r="O629" s="52"/>
      <c r="P629" s="52"/>
      <c r="Q629" s="52"/>
      <c r="R629" s="52"/>
      <c r="S629" s="69">
        <v>0.3</v>
      </c>
      <c r="T629" s="48">
        <f>ROUND((L629*I626+1.3*L629*K626+S629*H626),4)</f>
        <v>162.80250000000001</v>
      </c>
      <c r="U629" s="48">
        <f>ROUND((M629*0.9*I626+1.3*M629*0.9*K626+S629*H626),4)</f>
        <v>172.56829999999999</v>
      </c>
      <c r="V629" s="48">
        <f>ROUND((M629*I626+1.3*M629*K626+S629*H626),4)</f>
        <v>189.74250000000001</v>
      </c>
      <c r="W629" s="48">
        <f>ROUND((L629*J626+1.3*L629*N626+S629*G626),4)</f>
        <v>13.41</v>
      </c>
      <c r="X629" s="48">
        <f>ROUND((M629*0.9*J626+1.3*M629*0.9*N626+S629*G626),4)</f>
        <v>14.193</v>
      </c>
      <c r="Y629" s="48">
        <f>ROUND((M629*J626+1.3*N626+S629*G626),4)</f>
        <v>21.94</v>
      </c>
      <c r="Z629" s="49">
        <f>ROUND((P626*T629*F626*O626/1000000),4)</f>
        <v>2.93E-2</v>
      </c>
      <c r="AA629" s="49">
        <f>ROUND((Q626*U629*F626*O626/1000000),4)</f>
        <v>0</v>
      </c>
      <c r="AB629" s="49">
        <f>ROUND((R626*V629*F626*O626/1000000),4)</f>
        <v>0</v>
      </c>
      <c r="AC629" s="50" t="s">
        <v>205</v>
      </c>
      <c r="AD629" s="51" t="s">
        <v>206</v>
      </c>
      <c r="AE629" s="44">
        <f>ROUND((((X629*E626)/1800)),4)</f>
        <v>7.9000000000000008E-3</v>
      </c>
      <c r="AF629" s="44">
        <f>ROUND(((Z629+AA629+AB629)),4)</f>
        <v>2.93E-2</v>
      </c>
    </row>
    <row r="630" spans="1:32" ht="12.95" customHeight="1" x14ac:dyDescent="0.25">
      <c r="A630" s="63"/>
      <c r="B630" s="53"/>
      <c r="C630" s="52"/>
      <c r="D630" s="52"/>
      <c r="E630" s="52"/>
      <c r="F630" s="63"/>
      <c r="G630" s="52"/>
      <c r="H630" s="52"/>
      <c r="I630" s="52"/>
      <c r="J630" s="52"/>
      <c r="K630" s="52"/>
      <c r="L630" s="52">
        <v>0.27</v>
      </c>
      <c r="M630" s="52">
        <v>0.41</v>
      </c>
      <c r="N630" s="52"/>
      <c r="O630" s="52"/>
      <c r="P630" s="52"/>
      <c r="Q630" s="52"/>
      <c r="R630" s="52"/>
      <c r="S630" s="69">
        <v>0.06</v>
      </c>
      <c r="T630" s="48">
        <f>ROUND((L630*I626+1.3*L630*K626+S630*H626),4)</f>
        <v>94.522499999999994</v>
      </c>
      <c r="U630" s="48">
        <f>ROUND((M630*0.9*I626+1.3*M630*0.9*K626+S630*H626),4)</f>
        <v>127.8608</v>
      </c>
      <c r="V630" s="48">
        <f>ROUND((M630*I626+1.3*M630*K626+S630*H626),4)</f>
        <v>141.66749999999999</v>
      </c>
      <c r="W630" s="48">
        <f>ROUND((L630*J626+1.3*L630*N626+S630*G626),4)</f>
        <v>7.65</v>
      </c>
      <c r="X630" s="48">
        <f>ROUND((M630*0.9*J626+1.3*M630*0.9*N626+S630*G626),4)</f>
        <v>10.323</v>
      </c>
      <c r="Y630" s="48">
        <f>ROUND((M630*J626+1.3*M630*N626+S630*G626),4)</f>
        <v>11.43</v>
      </c>
      <c r="Z630" s="49">
        <f>ROUND((P626*T630*F626*O626/1000000),4)</f>
        <v>1.7000000000000001E-2</v>
      </c>
      <c r="AA630" s="49">
        <f>ROUND((Q626*U630*F626*O626/1000000),4)</f>
        <v>0</v>
      </c>
      <c r="AB630" s="49">
        <f>ROUND((R626*V630*F626*O626/1000000),4)</f>
        <v>0</v>
      </c>
      <c r="AC630" s="50" t="s">
        <v>250</v>
      </c>
      <c r="AD630" s="51" t="s">
        <v>208</v>
      </c>
      <c r="AE630" s="44">
        <f>ROUND((((X630*E626)/1800)),4)</f>
        <v>5.7000000000000002E-3</v>
      </c>
      <c r="AF630" s="44">
        <f>ROUND(((Z630+AA630+AB630)),4)</f>
        <v>1.7000000000000001E-2</v>
      </c>
    </row>
    <row r="631" spans="1:32" ht="12.95" customHeight="1" x14ac:dyDescent="0.25">
      <c r="A631" s="63"/>
      <c r="B631" s="53"/>
      <c r="C631" s="56"/>
      <c r="D631" s="56"/>
      <c r="E631" s="56"/>
      <c r="F631" s="66"/>
      <c r="G631" s="56"/>
      <c r="H631" s="56"/>
      <c r="I631" s="56"/>
      <c r="J631" s="56"/>
      <c r="K631" s="56"/>
      <c r="L631" s="56">
        <v>1.29</v>
      </c>
      <c r="M631" s="56">
        <v>1.57</v>
      </c>
      <c r="N631" s="56"/>
      <c r="O631" s="56"/>
      <c r="P631" s="56"/>
      <c r="Q631" s="56"/>
      <c r="R631" s="56"/>
      <c r="S631" s="69">
        <v>2.4</v>
      </c>
      <c r="T631" s="70">
        <f>ROUND((L631*I626+1.3*L631*K626+S631*H626),4)</f>
        <v>578.40750000000003</v>
      </c>
      <c r="U631" s="70">
        <f>ROUND((M631*0.9*I626+1.3*M631*0.9*K626+S631*H626),4)</f>
        <v>619.82780000000002</v>
      </c>
      <c r="V631" s="70">
        <f>ROUND((M631*I626+1.3*M631*K626+S631*H626),4)</f>
        <v>672.69749999999999</v>
      </c>
      <c r="W631" s="70">
        <f>ROUND((L631*J626+1.3*L631*N626+S631*G626),4)</f>
        <v>49.23</v>
      </c>
      <c r="X631" s="70">
        <f>ROUND((M631*0.9*J626+1.3*M631*0.9*N626+S631*G626),4)</f>
        <v>52.551000000000002</v>
      </c>
      <c r="Y631" s="70">
        <f>ROUND((M631*J626+1.3*M631*N626+S631*G626),4)</f>
        <v>56.79</v>
      </c>
      <c r="Z631" s="71">
        <f>ROUND((P626*T631*F626*O626/1000000),4)</f>
        <v>0.1041</v>
      </c>
      <c r="AA631" s="71">
        <f>ROUND((Q626*U631*F626*O626/1000000),4)</f>
        <v>0</v>
      </c>
      <c r="AB631" s="71">
        <f>ROUND((R626*V631*F626*O626/1000000),4)</f>
        <v>0</v>
      </c>
      <c r="AC631" s="50" t="s">
        <v>170</v>
      </c>
      <c r="AD631" s="51" t="s">
        <v>162</v>
      </c>
      <c r="AE631" s="44">
        <f>ROUND((((X631*E626)/1800)),4)</f>
        <v>2.92E-2</v>
      </c>
      <c r="AF631" s="44">
        <f>ROUND(((Z631+AA631+AB631)),4)</f>
        <v>0.1041</v>
      </c>
    </row>
    <row r="632" spans="1:32" ht="12.95" customHeight="1" x14ac:dyDescent="0.25">
      <c r="A632" s="63"/>
      <c r="B632" s="46" t="s">
        <v>211</v>
      </c>
      <c r="C632" s="46">
        <v>5</v>
      </c>
      <c r="D632" s="45" t="s">
        <v>209</v>
      </c>
      <c r="E632" s="45">
        <v>1</v>
      </c>
      <c r="F632" s="45">
        <v>3</v>
      </c>
      <c r="G632" s="45">
        <v>6</v>
      </c>
      <c r="H632" s="45">
        <v>60</v>
      </c>
      <c r="I632" s="45">
        <f>(8-1-0.75*2)*60*F632-K632-8*0.12*60</f>
        <v>288.89999999999998</v>
      </c>
      <c r="J632" s="45">
        <v>14</v>
      </c>
      <c r="K632" s="45">
        <f>(8-1-0.75*2)*0.65*60*F632</f>
        <v>643.5</v>
      </c>
      <c r="L632" s="48">
        <v>4.01</v>
      </c>
      <c r="M632" s="48">
        <v>4.01</v>
      </c>
      <c r="N632" s="45">
        <v>10</v>
      </c>
      <c r="O632" s="45">
        <f>E632/F632</f>
        <v>0.33333333333333331</v>
      </c>
      <c r="P632" s="45">
        <v>180</v>
      </c>
      <c r="Q632" s="45">
        <v>60</v>
      </c>
      <c r="R632" s="47">
        <v>60</v>
      </c>
      <c r="S632" s="47">
        <v>0.78</v>
      </c>
      <c r="T632" s="48">
        <f>ROUND((L632*I632+1.3*L632*K632+S632*H632),4)</f>
        <v>4559.8545000000004</v>
      </c>
      <c r="U632" s="48">
        <f>ROUND((M632*I632+1.3*M632*K632+S632*H632),4)</f>
        <v>4559.8545000000004</v>
      </c>
      <c r="V632" s="48">
        <f>ROUND((M632*I632+1.3*M632*K632+S632*H632),4)</f>
        <v>4559.8545000000004</v>
      </c>
      <c r="W632" s="48">
        <f>ROUND((L632*J632+1.3*L632*N632+S632*G632),4)</f>
        <v>112.95</v>
      </c>
      <c r="X632" s="48">
        <f>ROUND((M632*J632+1.3*M632*N632+S632*G632),4)</f>
        <v>112.95</v>
      </c>
      <c r="Y632" s="48">
        <f>ROUND((M632*J632+1.3*M632*N632+S632*G632),4)</f>
        <v>112.95</v>
      </c>
      <c r="Z632" s="49">
        <f>ROUND((P632*T632*F632*O632/1000000),4)</f>
        <v>0.82079999999999997</v>
      </c>
      <c r="AA632" s="49">
        <f>ROUND((Q632*U632*F632*O632/1000000),4)</f>
        <v>0.27360000000000001</v>
      </c>
      <c r="AB632" s="49">
        <f>ROUND((R632*V632*F632*O632/1000000),4)</f>
        <v>0.27360000000000001</v>
      </c>
      <c r="AC632" s="50" t="s">
        <v>200</v>
      </c>
      <c r="AD632" s="51" t="s">
        <v>153</v>
      </c>
      <c r="AE632" s="44">
        <f>ROUND((((X632*E632)/1800)*0.8),4)</f>
        <v>5.0200000000000002E-2</v>
      </c>
      <c r="AF632" s="44">
        <f>ROUND(((Z632+AA632+AB632)*0.8),4)</f>
        <v>1.0944</v>
      </c>
    </row>
    <row r="633" spans="1:32" ht="12.95" customHeight="1" x14ac:dyDescent="0.25">
      <c r="A633" s="63"/>
      <c r="B633" s="73" t="s">
        <v>212</v>
      </c>
      <c r="C633" s="53"/>
      <c r="D633" s="52"/>
      <c r="E633" s="52"/>
      <c r="F633" s="52"/>
      <c r="G633" s="52"/>
      <c r="H633" s="52"/>
      <c r="I633" s="52"/>
      <c r="J633" s="52"/>
      <c r="K633" s="52"/>
      <c r="L633" s="56"/>
      <c r="M633" s="56"/>
      <c r="N633" s="52"/>
      <c r="O633" s="52"/>
      <c r="P633" s="63"/>
      <c r="Q633" s="63"/>
      <c r="R633" s="63"/>
      <c r="S633" s="57"/>
      <c r="T633" s="54"/>
      <c r="U633" s="54"/>
      <c r="V633" s="54"/>
      <c r="W633" s="54"/>
      <c r="X633" s="54"/>
      <c r="Y633" s="54"/>
      <c r="Z633" s="54"/>
      <c r="AA633" s="54"/>
      <c r="AB633" s="54"/>
      <c r="AC633" s="50" t="s">
        <v>201</v>
      </c>
      <c r="AD633" s="51" t="s">
        <v>202</v>
      </c>
      <c r="AE633" s="44">
        <f>ROUND((((X632*E632)/1800)*0.13),4)</f>
        <v>8.2000000000000007E-3</v>
      </c>
      <c r="AF633" s="44">
        <f>ROUND(((Z632+AA632+AB632)*0.13),4)</f>
        <v>0.17780000000000001</v>
      </c>
    </row>
    <row r="634" spans="1:32" ht="12.95" customHeight="1" x14ac:dyDescent="0.25">
      <c r="A634" s="63"/>
      <c r="B634" s="64"/>
      <c r="C634" s="58"/>
      <c r="D634" s="55"/>
      <c r="E634" s="52"/>
      <c r="F634" s="52"/>
      <c r="G634" s="52"/>
      <c r="H634" s="52"/>
      <c r="I634" s="52"/>
      <c r="J634" s="52"/>
      <c r="K634" s="52"/>
      <c r="L634" s="59">
        <v>0.31</v>
      </c>
      <c r="M634" s="59">
        <v>0.38</v>
      </c>
      <c r="N634" s="52"/>
      <c r="O634" s="52"/>
      <c r="P634" s="63"/>
      <c r="Q634" s="63"/>
      <c r="R634" s="63"/>
      <c r="S634" s="60">
        <v>0.16</v>
      </c>
      <c r="T634" s="48">
        <f>ROUND((L634*I632+1.3*L634*K632+S634*H632),4)</f>
        <v>358.48950000000002</v>
      </c>
      <c r="U634" s="48">
        <f>ROUND((M634*0.9*I632+1.3*M634*0.9*K632+S634*H632),4)</f>
        <v>394.50389999999999</v>
      </c>
      <c r="V634" s="48">
        <f>ROUND((M634*I632+1.3*M634*K632+S634*H632),4)</f>
        <v>437.27100000000002</v>
      </c>
      <c r="W634" s="48">
        <f>ROUND((L634*J632+1.3*L634*N632+S634*G632),4)</f>
        <v>9.33</v>
      </c>
      <c r="X634" s="48">
        <f>ROUND((M634*0.9*J632+1.3*M634*0.9*N632+S634*G632),4)</f>
        <v>10.194000000000001</v>
      </c>
      <c r="Y634" s="48">
        <f>ROUND((M634*J632+1.3*M634*N632+S634*G632),4)</f>
        <v>11.22</v>
      </c>
      <c r="Z634" s="49">
        <f>ROUND((P632*T634*F632*O632/1000000),4)</f>
        <v>6.4500000000000002E-2</v>
      </c>
      <c r="AA634" s="49">
        <f>ROUND((Q632*U634*F632*O632/1000000),4)</f>
        <v>2.3699999999999999E-2</v>
      </c>
      <c r="AB634" s="49">
        <f>ROUND((R632*V634*F632*O632/1000000),4)</f>
        <v>2.6200000000000001E-2</v>
      </c>
      <c r="AC634" s="50" t="s">
        <v>203</v>
      </c>
      <c r="AD634" s="51" t="s">
        <v>204</v>
      </c>
      <c r="AE634" s="44">
        <f>ROUND((((X634*E632)/1800)),4)</f>
        <v>5.7000000000000002E-3</v>
      </c>
      <c r="AF634" s="44">
        <f>ROUND(((Z634+AA634+AB634)),5)</f>
        <v>0.1144</v>
      </c>
    </row>
    <row r="635" spans="1:32" ht="12.95" customHeight="1" x14ac:dyDescent="0.25">
      <c r="A635" s="63"/>
      <c r="B635" s="64"/>
      <c r="C635" s="53"/>
      <c r="D635" s="52"/>
      <c r="E635" s="52"/>
      <c r="F635" s="52"/>
      <c r="G635" s="52"/>
      <c r="H635" s="52"/>
      <c r="I635" s="52"/>
      <c r="J635" s="52"/>
      <c r="K635" s="52"/>
      <c r="L635" s="59">
        <v>0.71</v>
      </c>
      <c r="M635" s="59">
        <v>0.85</v>
      </c>
      <c r="N635" s="52"/>
      <c r="O635" s="52"/>
      <c r="P635" s="63"/>
      <c r="Q635" s="63"/>
      <c r="R635" s="63"/>
      <c r="S635" s="61">
        <v>0.49</v>
      </c>
      <c r="T635" s="48">
        <f>ROUND((L635*I632+1.3*L635*K632+S635*H632),4)</f>
        <v>828.46950000000004</v>
      </c>
      <c r="U635" s="48">
        <f>ROUND((M635*0.9*I632+1.3*M635*0.9*K632+S635*H632),4)</f>
        <v>890.36929999999995</v>
      </c>
      <c r="V635" s="48">
        <f>ROUND((M635*I632+1.3*M635*K632+S635*H632),4)</f>
        <v>986.03250000000003</v>
      </c>
      <c r="W635" s="48">
        <f>ROUND((L635*J632+1.3*L635*N632+S635*G632),4)</f>
        <v>22.11</v>
      </c>
      <c r="X635" s="48">
        <f>ROUND((M635*0.9*J632+1.3*M635*0.9*N632+S635*G632),4)</f>
        <v>23.594999999999999</v>
      </c>
      <c r="Y635" s="48">
        <f>ROUND((M635*J632+1.3*N632+S635*G632),4)</f>
        <v>27.84</v>
      </c>
      <c r="Z635" s="49">
        <f>ROUND((P632*T635*F632*O632/1000000),4)</f>
        <v>0.14910000000000001</v>
      </c>
      <c r="AA635" s="49">
        <f>ROUND((Q632*U635*F632*O632/1000000),4)</f>
        <v>5.3400000000000003E-2</v>
      </c>
      <c r="AB635" s="49">
        <f>ROUND((R632*V635*F632*O632/1000000),4)</f>
        <v>5.9200000000000003E-2</v>
      </c>
      <c r="AC635" s="50" t="s">
        <v>205</v>
      </c>
      <c r="AD635" s="51" t="s">
        <v>206</v>
      </c>
      <c r="AE635" s="44">
        <f>ROUND((((X635*E632)/1800)),4)</f>
        <v>1.3100000000000001E-2</v>
      </c>
      <c r="AF635" s="44">
        <f>ROUND(((Z635+AA635+AB635)),4)</f>
        <v>0.26169999999999999</v>
      </c>
    </row>
    <row r="636" spans="1:32" ht="12.95" customHeight="1" x14ac:dyDescent="0.25">
      <c r="A636" s="63"/>
      <c r="B636" s="64"/>
      <c r="C636" s="53"/>
      <c r="D636" s="52"/>
      <c r="E636" s="52"/>
      <c r="F636" s="52"/>
      <c r="G636" s="52"/>
      <c r="H636" s="52"/>
      <c r="I636" s="52"/>
      <c r="J636" s="52"/>
      <c r="K636" s="52"/>
      <c r="L636" s="59">
        <v>0.45</v>
      </c>
      <c r="M636" s="59">
        <v>0.67</v>
      </c>
      <c r="N636" s="52"/>
      <c r="O636" s="52"/>
      <c r="P636" s="63"/>
      <c r="Q636" s="63"/>
      <c r="R636" s="63"/>
      <c r="S636" s="61">
        <v>0.1</v>
      </c>
      <c r="T636" s="48">
        <f>ROUND((L636*I632+1.3*L636*K632+S636*H632),4)</f>
        <v>512.45249999999999</v>
      </c>
      <c r="U636" s="48">
        <f>ROUND((M636*0.9*I632+1.3*M636*0.9*K632+S636*H632),4)</f>
        <v>684.64639999999997</v>
      </c>
      <c r="V636" s="48">
        <f>ROUND((M636*I632+1.3*M636*K632+S636*H632),4)</f>
        <v>760.05150000000003</v>
      </c>
      <c r="W636" s="48">
        <f>ROUND((L636*J632+1.3*L636*N632+S636*G632),4)</f>
        <v>12.75</v>
      </c>
      <c r="X636" s="48">
        <f>ROUND((M636*0.9*J632+1.3*M636*0.9*N632+S636*G632),4)</f>
        <v>16.881</v>
      </c>
      <c r="Y636" s="48">
        <f>ROUND((M636*J632+1.3*M636*N632+S636*G632),4)</f>
        <v>18.690000000000001</v>
      </c>
      <c r="Z636" s="49">
        <f>ROUND((P632*T636*F632*O632/1000000),4)</f>
        <v>9.2200000000000004E-2</v>
      </c>
      <c r="AA636" s="49">
        <f>ROUND((Q632*U636*F632*O632/1000000),4)</f>
        <v>4.1099999999999998E-2</v>
      </c>
      <c r="AB636" s="49">
        <f>ROUND((R632*V636*F632*O632/1000000),4)</f>
        <v>4.5600000000000002E-2</v>
      </c>
      <c r="AC636" s="50" t="s">
        <v>250</v>
      </c>
      <c r="AD636" s="51" t="s">
        <v>208</v>
      </c>
      <c r="AE636" s="44">
        <f>ROUND((((X636*E632)/1800)),4)</f>
        <v>9.4000000000000004E-3</v>
      </c>
      <c r="AF636" s="44">
        <f>ROUND(((Z636+AA636+AB636)),4)</f>
        <v>0.1789</v>
      </c>
    </row>
    <row r="637" spans="1:32" ht="12.95" customHeight="1" x14ac:dyDescent="0.25">
      <c r="A637" s="63"/>
      <c r="B637" s="72"/>
      <c r="C637" s="62"/>
      <c r="D637" s="56"/>
      <c r="E637" s="56"/>
      <c r="F637" s="56"/>
      <c r="G637" s="56"/>
      <c r="H637" s="56"/>
      <c r="I637" s="56"/>
      <c r="J637" s="56"/>
      <c r="K637" s="56"/>
      <c r="L637" s="59">
        <v>2.09</v>
      </c>
      <c r="M637" s="59">
        <v>2.5499999999999998</v>
      </c>
      <c r="N637" s="56"/>
      <c r="O637" s="56"/>
      <c r="P637" s="66"/>
      <c r="Q637" s="66"/>
      <c r="R637" s="66"/>
      <c r="S637" s="61">
        <v>3.91</v>
      </c>
      <c r="T637" s="48">
        <f>ROUND((L637*I632+1.3*L637*K632+S637*H632),4)</f>
        <v>2586.7905000000001</v>
      </c>
      <c r="U637" s="48">
        <f>ROUND((M637*0.9*I632+1.3*M637*0.9*K632+S637*H632),4)</f>
        <v>2817.5077999999999</v>
      </c>
      <c r="V637" s="48">
        <f>ROUND((M637*I632+1.3*M637*K632+S637*H632),4)</f>
        <v>3104.4974999999999</v>
      </c>
      <c r="W637" s="48">
        <f>ROUND((L637*J632+1.3*L637*N632+S637*G632),4)</f>
        <v>79.89</v>
      </c>
      <c r="X637" s="48">
        <f>ROUND((M637*0.9*J632+1.3*M637*0.9*N632+S637*G632),4)</f>
        <v>85.424999999999997</v>
      </c>
      <c r="Y637" s="48">
        <f>ROUND((M637*J632+1.3*M637*N632+S637*G632),4)</f>
        <v>92.31</v>
      </c>
      <c r="Z637" s="49">
        <f>ROUND((P632*T637*F632*O632/1000000),4)</f>
        <v>0.46560000000000001</v>
      </c>
      <c r="AA637" s="49">
        <f>ROUND((Q632*U637*F632*O632/1000000),4)</f>
        <v>0.1691</v>
      </c>
      <c r="AB637" s="49">
        <f>ROUND((R632*V637*F632*O632/1000000),4)</f>
        <v>0.18629999999999999</v>
      </c>
      <c r="AC637" s="50" t="s">
        <v>170</v>
      </c>
      <c r="AD637" s="51" t="s">
        <v>162</v>
      </c>
      <c r="AE637" s="44">
        <f>ROUND((((X637*E632)/1800)),4)</f>
        <v>4.7500000000000001E-2</v>
      </c>
      <c r="AF637" s="44">
        <f>ROUND(((Z637+AA637+AB637)),4)</f>
        <v>0.82099999999999995</v>
      </c>
    </row>
    <row r="638" spans="1:32" ht="12.95" customHeight="1" x14ac:dyDescent="0.25">
      <c r="A638" s="52"/>
      <c r="B638" s="46" t="s">
        <v>211</v>
      </c>
      <c r="C638" s="46">
        <v>6</v>
      </c>
      <c r="D638" s="45" t="s">
        <v>210</v>
      </c>
      <c r="E638" s="45">
        <v>1</v>
      </c>
      <c r="F638" s="45">
        <v>3</v>
      </c>
      <c r="G638" s="45">
        <v>6</v>
      </c>
      <c r="H638" s="45">
        <v>60</v>
      </c>
      <c r="I638" s="45">
        <f>(8-1-0.75*2)*60*F638-K638-8*0.12*60</f>
        <v>288.89999999999998</v>
      </c>
      <c r="J638" s="45">
        <v>14</v>
      </c>
      <c r="K638" s="45">
        <f>(8-1-0.75*2)*0.65*60*F638</f>
        <v>643.5</v>
      </c>
      <c r="L638" s="48">
        <v>6.47</v>
      </c>
      <c r="M638" s="48">
        <v>6.47</v>
      </c>
      <c r="N638" s="45">
        <v>10</v>
      </c>
      <c r="O638" s="45">
        <f>E638/F638</f>
        <v>0.33333333333333331</v>
      </c>
      <c r="P638" s="45">
        <v>180</v>
      </c>
      <c r="Q638" s="45">
        <v>60</v>
      </c>
      <c r="R638" s="47">
        <v>60</v>
      </c>
      <c r="S638" s="47">
        <v>1.27</v>
      </c>
      <c r="T638" s="48">
        <f>ROUND((L638*I638+1.3*L638*K638+S638*H638),4)</f>
        <v>7357.8615</v>
      </c>
      <c r="U638" s="48">
        <f>ROUND((M638*I638+1.3*M638*K638+S638*H638),4)</f>
        <v>7357.8615</v>
      </c>
      <c r="V638" s="48">
        <f>ROUND((M638*I638+1.3*M638*K638+S638*H638),4)</f>
        <v>7357.8615</v>
      </c>
      <c r="W638" s="48">
        <f>ROUND((L638*J638+1.3*L638*N638+S638*G638),4)</f>
        <v>182.31</v>
      </c>
      <c r="X638" s="48">
        <f>ROUND((M638*J638+1.3*M638*N638+S638*G638),4)</f>
        <v>182.31</v>
      </c>
      <c r="Y638" s="48">
        <f>ROUND((M638*J638+1.3*M638*N638+S638*G638),4)</f>
        <v>182.31</v>
      </c>
      <c r="Z638" s="49">
        <f>ROUND((P638*T638*F638*O638/1000000),4)</f>
        <v>1.3244</v>
      </c>
      <c r="AA638" s="49">
        <f>ROUND((Q638*U638*F638*O638/1000000),4)</f>
        <v>0.4415</v>
      </c>
      <c r="AB638" s="49">
        <f>ROUND((R638*V638*F638*O638/1000000),4)</f>
        <v>0.4415</v>
      </c>
      <c r="AC638" s="50" t="s">
        <v>200</v>
      </c>
      <c r="AD638" s="51" t="s">
        <v>153</v>
      </c>
      <c r="AE638" s="44">
        <f>ROUND((((X638*E638)/1800)*0.8),4)</f>
        <v>8.1000000000000003E-2</v>
      </c>
      <c r="AF638" s="44">
        <f>ROUND(((Z638+AA638+AB638)*0.8),4)</f>
        <v>1.7659</v>
      </c>
    </row>
    <row r="639" spans="1:32" ht="12.95" customHeight="1" x14ac:dyDescent="0.25">
      <c r="A639" s="52"/>
      <c r="B639" s="53" t="s">
        <v>213</v>
      </c>
      <c r="C639" s="52"/>
      <c r="D639" s="52"/>
      <c r="E639" s="63"/>
      <c r="F639" s="63"/>
      <c r="G639" s="52"/>
      <c r="H639" s="52"/>
      <c r="I639" s="52"/>
      <c r="J639" s="52"/>
      <c r="K639" s="52"/>
      <c r="L639" s="56"/>
      <c r="M639" s="56"/>
      <c r="N639" s="52"/>
      <c r="O639" s="52"/>
      <c r="P639" s="63"/>
      <c r="Q639" s="63"/>
      <c r="R639" s="63"/>
      <c r="S639" s="57"/>
      <c r="T639" s="54"/>
      <c r="U639" s="54"/>
      <c r="V639" s="54"/>
      <c r="W639" s="54"/>
      <c r="X639" s="54"/>
      <c r="Y639" s="54"/>
      <c r="Z639" s="54"/>
      <c r="AA639" s="54"/>
      <c r="AB639" s="54"/>
      <c r="AC639" s="50" t="s">
        <v>201</v>
      </c>
      <c r="AD639" s="51" t="s">
        <v>202</v>
      </c>
      <c r="AE639" s="44">
        <f>ROUND((((X638*E638)/1800)*0.13),4)</f>
        <v>1.32E-2</v>
      </c>
      <c r="AF639" s="44">
        <f>ROUND(((Z638+AA638+AB638)*0.13),4)</f>
        <v>0.28699999999999998</v>
      </c>
    </row>
    <row r="640" spans="1:32" ht="12.95" customHeight="1" x14ac:dyDescent="0.25">
      <c r="A640" s="52"/>
      <c r="B640" s="98"/>
      <c r="C640" s="55"/>
      <c r="D640" s="55"/>
      <c r="E640" s="63"/>
      <c r="F640" s="63"/>
      <c r="G640" s="52"/>
      <c r="H640" s="52"/>
      <c r="I640" s="52"/>
      <c r="J640" s="52"/>
      <c r="K640" s="52"/>
      <c r="L640" s="59">
        <v>0.51</v>
      </c>
      <c r="M640" s="59">
        <v>0.63</v>
      </c>
      <c r="N640" s="52"/>
      <c r="O640" s="52"/>
      <c r="P640" s="63"/>
      <c r="Q640" s="63"/>
      <c r="R640" s="63"/>
      <c r="S640" s="60">
        <v>0.25</v>
      </c>
      <c r="T640" s="48">
        <f>ROUND((L640*I638+1.3*L640*K638+S640*H638),4)</f>
        <v>588.97950000000003</v>
      </c>
      <c r="U640" s="48">
        <f>ROUND((M640*0.9*I638+1.3*M640*0.9*K638+S640*H638),4)</f>
        <v>653.13019999999995</v>
      </c>
      <c r="V640" s="48">
        <f>ROUND((M640*I638+1.3*M640*K638+S640*H638),4)</f>
        <v>724.0335</v>
      </c>
      <c r="W640" s="48">
        <f>ROUND((L640*J638+1.3*L640*N638+S640*G638),4)</f>
        <v>15.27</v>
      </c>
      <c r="X640" s="48">
        <f>ROUND((M640*0.9*J638+1.3*M640*0.9*N638+S640*G638),4)</f>
        <v>16.809000000000001</v>
      </c>
      <c r="Y640" s="48">
        <f>ROUND((M640*J638+1.3*M640*N638+S640*G638),4)</f>
        <v>18.510000000000002</v>
      </c>
      <c r="Z640" s="49">
        <f>ROUND((P638*T640*F638*O638/1000000),4)</f>
        <v>0.106</v>
      </c>
      <c r="AA640" s="49">
        <f>ROUND((Q638*U640*F638*O638/1000000),4)</f>
        <v>3.9199999999999999E-2</v>
      </c>
      <c r="AB640" s="49">
        <f>ROUND((R638*V640*F638*O638/1000000),4)</f>
        <v>4.3400000000000001E-2</v>
      </c>
      <c r="AC640" s="50" t="s">
        <v>203</v>
      </c>
      <c r="AD640" s="51" t="s">
        <v>204</v>
      </c>
      <c r="AE640" s="44">
        <f>ROUND((((X640*E638)/1800)),4)</f>
        <v>9.2999999999999992E-3</v>
      </c>
      <c r="AF640" s="44">
        <f>ROUND(((Z640+AA640+AB640)),5)</f>
        <v>0.18859999999999999</v>
      </c>
    </row>
    <row r="641" spans="1:32" ht="12.95" customHeight="1" x14ac:dyDescent="0.25">
      <c r="A641" s="52"/>
      <c r="B641" s="53"/>
      <c r="C641" s="52"/>
      <c r="D641" s="52"/>
      <c r="E641" s="63"/>
      <c r="F641" s="63"/>
      <c r="G641" s="52"/>
      <c r="H641" s="52"/>
      <c r="I641" s="52"/>
      <c r="J641" s="52"/>
      <c r="K641" s="52"/>
      <c r="L641" s="59">
        <v>1.1399999999999999</v>
      </c>
      <c r="M641" s="59">
        <v>1.37</v>
      </c>
      <c r="N641" s="52"/>
      <c r="O641" s="52"/>
      <c r="P641" s="63"/>
      <c r="Q641" s="63"/>
      <c r="R641" s="63"/>
      <c r="S641" s="61">
        <v>0.79</v>
      </c>
      <c r="T641" s="48">
        <f>ROUND((L641*I638+1.3*L641*K638+S641*H638),4)</f>
        <v>1330.413</v>
      </c>
      <c r="U641" s="48">
        <f>ROUND((M641*0.9*I638+1.3*M641*0.9*K638+S641*H638),4)</f>
        <v>1435.0799</v>
      </c>
      <c r="V641" s="48">
        <f>ROUND((M641*I638+1.3*M641*K638+S641*H638),4)</f>
        <v>1589.2665</v>
      </c>
      <c r="W641" s="48">
        <f>ROUND((L641*J638+1.3*L641*N638+S641*G638),4)</f>
        <v>35.520000000000003</v>
      </c>
      <c r="X641" s="48">
        <f>ROUND((M641*0.9*J638+1.3*M641*0.9*N638+S641*G638),4)</f>
        <v>38.030999999999999</v>
      </c>
      <c r="Y641" s="48">
        <f>ROUND((M641*J638+1.3*N638+S641*G638),4)</f>
        <v>36.92</v>
      </c>
      <c r="Z641" s="49">
        <f>ROUND((P638*T641*F638*O638/1000000),4)</f>
        <v>0.23949999999999999</v>
      </c>
      <c r="AA641" s="49">
        <f>ROUND((Q638*U641*F638*O638/1000000),4)</f>
        <v>8.6099999999999996E-2</v>
      </c>
      <c r="AB641" s="49">
        <f>ROUND((R638*V641*F638*O638/1000000),4)</f>
        <v>9.5399999999999999E-2</v>
      </c>
      <c r="AC641" s="50" t="s">
        <v>205</v>
      </c>
      <c r="AD641" s="51" t="s">
        <v>206</v>
      </c>
      <c r="AE641" s="44">
        <f>ROUND((((X641*E638)/1800)),4)</f>
        <v>2.1100000000000001E-2</v>
      </c>
      <c r="AF641" s="44">
        <f>ROUND(((Z641+AA641+AB641)),4)</f>
        <v>0.42099999999999999</v>
      </c>
    </row>
    <row r="642" spans="1:32" ht="12.95" customHeight="1" x14ac:dyDescent="0.25">
      <c r="A642" s="52"/>
      <c r="B642" s="53"/>
      <c r="C642" s="52"/>
      <c r="D642" s="52"/>
      <c r="E642" s="63"/>
      <c r="F642" s="63"/>
      <c r="G642" s="52"/>
      <c r="H642" s="52"/>
      <c r="I642" s="52"/>
      <c r="J642" s="52"/>
      <c r="K642" s="52"/>
      <c r="L642" s="59">
        <v>0.72</v>
      </c>
      <c r="M642" s="59">
        <v>1.08</v>
      </c>
      <c r="N642" s="52"/>
      <c r="O642" s="52"/>
      <c r="P642" s="63"/>
      <c r="Q642" s="63"/>
      <c r="R642" s="63"/>
      <c r="S642" s="61">
        <v>0.17</v>
      </c>
      <c r="T642" s="48">
        <f>ROUND((L642*I638+1.3*L642*K638+S642*H638),4)</f>
        <v>820.524</v>
      </c>
      <c r="U642" s="48">
        <f>ROUND((M642*0.9*I638+1.3*M642*0.9*K638+S642*H638),4)</f>
        <v>1104.1374000000001</v>
      </c>
      <c r="V642" s="48">
        <f>ROUND((M642*I638+1.3*M642*K638+S642*H638),4)</f>
        <v>1225.6859999999999</v>
      </c>
      <c r="W642" s="48">
        <f>ROUND((L642*J638+1.3*L642*N638+S642*G638),4)</f>
        <v>20.46</v>
      </c>
      <c r="X642" s="48">
        <f>ROUND((M642*0.9*J638+1.3*M642*0.9*N638+S642*G638),4)</f>
        <v>27.263999999999999</v>
      </c>
      <c r="Y642" s="48">
        <f>ROUND((M642*J638+1.3*M642*N638+S642*G638),4)</f>
        <v>30.18</v>
      </c>
      <c r="Z642" s="49">
        <f>ROUND((P638*T642*F638*O638/1000000),4)</f>
        <v>0.1477</v>
      </c>
      <c r="AA642" s="49">
        <f>ROUND((Q638*U642*F638*O638/1000000),4)</f>
        <v>6.6199999999999995E-2</v>
      </c>
      <c r="AB642" s="49">
        <f>ROUND((R638*V642*F638*O638/1000000),4)</f>
        <v>7.3499999999999996E-2</v>
      </c>
      <c r="AC642" s="50" t="s">
        <v>250</v>
      </c>
      <c r="AD642" s="51" t="s">
        <v>208</v>
      </c>
      <c r="AE642" s="44">
        <f>ROUND((((X642*E638)/1800)),4)</f>
        <v>1.5100000000000001E-2</v>
      </c>
      <c r="AF642" s="44">
        <f>ROUND(((Z642+AA642+AB642)),4)</f>
        <v>0.28739999999999999</v>
      </c>
    </row>
    <row r="643" spans="1:32" ht="12.95" customHeight="1" x14ac:dyDescent="0.25">
      <c r="A643" s="52"/>
      <c r="B643" s="62"/>
      <c r="C643" s="56"/>
      <c r="D643" s="56"/>
      <c r="E643" s="66"/>
      <c r="F643" s="66"/>
      <c r="G643" s="56"/>
      <c r="H643" s="56"/>
      <c r="I643" s="56"/>
      <c r="J643" s="56"/>
      <c r="K643" s="56"/>
      <c r="L643" s="59">
        <v>3.37</v>
      </c>
      <c r="M643" s="59">
        <v>4.1100000000000003</v>
      </c>
      <c r="N643" s="56"/>
      <c r="O643" s="56"/>
      <c r="P643" s="66"/>
      <c r="Q643" s="66"/>
      <c r="R643" s="66"/>
      <c r="S643" s="61">
        <v>6.31</v>
      </c>
      <c r="T643" s="48">
        <f>ROUND((L643*I638+1.3*L643*K638+S643*H638),4)</f>
        <v>4171.3665000000001</v>
      </c>
      <c r="U643" s="48">
        <f>ROUND((M643*0.9*I638+1.3*M643*0.9*K638+S643*H638),4)</f>
        <v>4541.6396000000004</v>
      </c>
      <c r="V643" s="48">
        <f>ROUND((M643*I638+1.3*M643*K638+S643*H638),4)</f>
        <v>5004.1994999999997</v>
      </c>
      <c r="W643" s="48">
        <f>ROUND((L643*J638+1.3*L643*N638+S643*G638),4)</f>
        <v>128.85</v>
      </c>
      <c r="X643" s="48">
        <f>ROUND((M643*0.9*J638+1.3*M643*0.9*N638+S643*G638),4)</f>
        <v>137.733</v>
      </c>
      <c r="Y643" s="48">
        <f>ROUND((M643*J638+1.3*M643*N638+S643*G638),4)</f>
        <v>148.83000000000001</v>
      </c>
      <c r="Z643" s="49">
        <f>ROUND((P638*T643*F638*O638/1000000),4)</f>
        <v>0.75080000000000002</v>
      </c>
      <c r="AA643" s="49">
        <f>ROUND((Q638*U643*F638*O638/1000000),4)</f>
        <v>0.27250000000000002</v>
      </c>
      <c r="AB643" s="49">
        <f>ROUND((R638*V643*F638*O638/1000000),4)</f>
        <v>0.30030000000000001</v>
      </c>
      <c r="AC643" s="50" t="s">
        <v>170</v>
      </c>
      <c r="AD643" s="51" t="s">
        <v>162</v>
      </c>
      <c r="AE643" s="44">
        <f>ROUND((((X643*E638)/1800)),4)</f>
        <v>7.6499999999999999E-2</v>
      </c>
      <c r="AF643" s="44">
        <f>ROUND(((Z643+AA643+AB643)),4)</f>
        <v>1.3236000000000001</v>
      </c>
    </row>
    <row r="644" spans="1:32" ht="12.95" customHeight="1" x14ac:dyDescent="0.25">
      <c r="A644" s="52"/>
      <c r="B644" s="67" t="s">
        <v>214</v>
      </c>
      <c r="C644" s="46">
        <v>6</v>
      </c>
      <c r="D644" s="45" t="s">
        <v>210</v>
      </c>
      <c r="E644" s="45">
        <v>1</v>
      </c>
      <c r="F644" s="45">
        <v>4</v>
      </c>
      <c r="G644" s="45">
        <v>6</v>
      </c>
      <c r="H644" s="45">
        <v>60</v>
      </c>
      <c r="I644" s="45">
        <f>(8-1-0.75*2)*60*F644-K644-8*0.12*60</f>
        <v>404.4</v>
      </c>
      <c r="J644" s="45">
        <v>14</v>
      </c>
      <c r="K644" s="45">
        <f>(8-1-0.75*2)*0.65*60*F644</f>
        <v>858</v>
      </c>
      <c r="L644" s="48">
        <v>6.47</v>
      </c>
      <c r="M644" s="48">
        <v>6.47</v>
      </c>
      <c r="N644" s="45">
        <v>10</v>
      </c>
      <c r="O644" s="45">
        <f>E644/F644</f>
        <v>0.25</v>
      </c>
      <c r="P644" s="45">
        <v>180</v>
      </c>
      <c r="Q644" s="45">
        <v>30</v>
      </c>
      <c r="R644" s="47">
        <v>30</v>
      </c>
      <c r="S644" s="47">
        <v>1.27</v>
      </c>
      <c r="T644" s="48">
        <f>ROUND((L644*I644+1.3*L644*K644+S644*H644),4)</f>
        <v>9909.3060000000005</v>
      </c>
      <c r="U644" s="48">
        <f>ROUND((M644*I644+1.3*M644*K644+S644*H644),4)</f>
        <v>9909.3060000000005</v>
      </c>
      <c r="V644" s="48">
        <f>ROUND((M644*I644+1.3*M644*K644+S644*H644),4)</f>
        <v>9909.3060000000005</v>
      </c>
      <c r="W644" s="48">
        <f>ROUND((L644*J644+1.3*L644*N644+S644*G644),4)</f>
        <v>182.31</v>
      </c>
      <c r="X644" s="48">
        <f>ROUND((M644*J644+1.3*M644*N644+S644*G644),4)</f>
        <v>182.31</v>
      </c>
      <c r="Y644" s="48">
        <f>ROUND((M644*J644+1.3*M644*N644+S644*G644),4)</f>
        <v>182.31</v>
      </c>
      <c r="Z644" s="49">
        <f>ROUND((P644*T644*F644*O644/1000000),4)</f>
        <v>1.7837000000000001</v>
      </c>
      <c r="AA644" s="49">
        <f>ROUND((Q644*U644*F644*O644/1000000),4)</f>
        <v>0.29730000000000001</v>
      </c>
      <c r="AB644" s="49">
        <f>ROUND((R644*V644*F644*O644/1000000),4)</f>
        <v>0.29730000000000001</v>
      </c>
      <c r="AC644" s="50" t="s">
        <v>200</v>
      </c>
      <c r="AD644" s="51" t="s">
        <v>153</v>
      </c>
      <c r="AE644" s="44">
        <f>ROUND((((X644*E644)/1800)*0.8),4)</f>
        <v>8.1000000000000003E-2</v>
      </c>
      <c r="AF644" s="44">
        <f>ROUND(((Z644+AA644+AB644)*0.8),4)</f>
        <v>1.9026000000000001</v>
      </c>
    </row>
    <row r="645" spans="1:32" ht="12.95" customHeight="1" x14ac:dyDescent="0.25">
      <c r="A645" s="52"/>
      <c r="B645" s="53" t="s">
        <v>215</v>
      </c>
      <c r="C645" s="52"/>
      <c r="D645" s="52"/>
      <c r="E645" s="52"/>
      <c r="F645" s="52"/>
      <c r="G645" s="52"/>
      <c r="H645" s="52"/>
      <c r="I645" s="52"/>
      <c r="J645" s="52"/>
      <c r="K645" s="52"/>
      <c r="L645" s="56"/>
      <c r="M645" s="56"/>
      <c r="N645" s="52"/>
      <c r="O645" s="52"/>
      <c r="P645" s="63"/>
      <c r="Q645" s="63"/>
      <c r="R645" s="52"/>
      <c r="S645" s="57"/>
      <c r="T645" s="54"/>
      <c r="U645" s="54"/>
      <c r="V645" s="54"/>
      <c r="W645" s="54"/>
      <c r="X645" s="54"/>
      <c r="Y645" s="54"/>
      <c r="Z645" s="54"/>
      <c r="AA645" s="54"/>
      <c r="AB645" s="54"/>
      <c r="AC645" s="50" t="s">
        <v>201</v>
      </c>
      <c r="AD645" s="51" t="s">
        <v>202</v>
      </c>
      <c r="AE645" s="44">
        <f>ROUND((((X644*E644)/1800)*0.13),4)</f>
        <v>1.32E-2</v>
      </c>
      <c r="AF645" s="44">
        <f>ROUND(((Z644+AA644+AB644)*0.13),4)</f>
        <v>0.30919999999999997</v>
      </c>
    </row>
    <row r="646" spans="1:32" ht="12.95" customHeight="1" x14ac:dyDescent="0.25">
      <c r="A646" s="52"/>
      <c r="B646" s="88"/>
      <c r="C646" s="55"/>
      <c r="D646" s="55"/>
      <c r="E646" s="52"/>
      <c r="F646" s="52"/>
      <c r="G646" s="52"/>
      <c r="H646" s="52"/>
      <c r="I646" s="52"/>
      <c r="J646" s="52"/>
      <c r="K646" s="52"/>
      <c r="L646" s="59">
        <v>0.51</v>
      </c>
      <c r="M646" s="59">
        <v>0.63</v>
      </c>
      <c r="N646" s="52"/>
      <c r="O646" s="52"/>
      <c r="P646" s="63"/>
      <c r="Q646" s="63"/>
      <c r="R646" s="52"/>
      <c r="S646" s="60">
        <v>0.25</v>
      </c>
      <c r="T646" s="48">
        <f>ROUND((L646*I644+1.3*L646*K644+S646*H644),4)</f>
        <v>790.09799999999996</v>
      </c>
      <c r="U646" s="48">
        <f>ROUND((M646*0.9*I644+1.3*M646*0.9*K644+S646*H644),4)</f>
        <v>876.72659999999996</v>
      </c>
      <c r="V646" s="48">
        <f>ROUND((M646*I644+1.3*M646*K644+S646*H644),4)</f>
        <v>972.47400000000005</v>
      </c>
      <c r="W646" s="48">
        <f>ROUND((L646*J644+1.3*L646*N644+S646*G644),4)</f>
        <v>15.27</v>
      </c>
      <c r="X646" s="48">
        <f>ROUND((M646*0.9*J644+1.3*M646*0.9*N644+S646*G644),4)</f>
        <v>16.809000000000001</v>
      </c>
      <c r="Y646" s="48">
        <f>ROUND((M646*J644+1.3*M646*N644+S646*G644),4)</f>
        <v>18.510000000000002</v>
      </c>
      <c r="Z646" s="49">
        <f>ROUND((P644*T646*F644*O644/1000000),4)</f>
        <v>0.14219999999999999</v>
      </c>
      <c r="AA646" s="49">
        <f>ROUND((Q644*U646*F644*O644/1000000),4)</f>
        <v>2.63E-2</v>
      </c>
      <c r="AB646" s="49">
        <f>ROUND((R644*V646*F644*O644/1000000),4)</f>
        <v>2.92E-2</v>
      </c>
      <c r="AC646" s="50" t="s">
        <v>203</v>
      </c>
      <c r="AD646" s="51" t="s">
        <v>204</v>
      </c>
      <c r="AE646" s="44">
        <f>ROUND((((X646*E644)/1800)),4)</f>
        <v>9.2999999999999992E-3</v>
      </c>
      <c r="AF646" s="44">
        <f>ROUND(((Z646+AA646+AB646)),5)</f>
        <v>0.19769999999999999</v>
      </c>
    </row>
    <row r="647" spans="1:32" ht="12.95" customHeight="1" x14ac:dyDescent="0.25">
      <c r="A647" s="52"/>
      <c r="B647" s="88"/>
      <c r="C647" s="52"/>
      <c r="D647" s="52"/>
      <c r="E647" s="52"/>
      <c r="F647" s="52"/>
      <c r="G647" s="52"/>
      <c r="H647" s="52"/>
      <c r="I647" s="52"/>
      <c r="J647" s="52"/>
      <c r="K647" s="52"/>
      <c r="L647" s="59">
        <v>1.1399999999999999</v>
      </c>
      <c r="M647" s="59">
        <v>1.37</v>
      </c>
      <c r="N647" s="52"/>
      <c r="O647" s="52"/>
      <c r="P647" s="63"/>
      <c r="Q647" s="63"/>
      <c r="R647" s="52"/>
      <c r="S647" s="61">
        <v>0.79</v>
      </c>
      <c r="T647" s="48">
        <f>ROUND((L647*I644+1.3*L647*K644+S647*H644),4)</f>
        <v>1779.972</v>
      </c>
      <c r="U647" s="48">
        <f>ROUND((M647*0.9*I644+1.3*M647*0.9*K644+S647*H644),4)</f>
        <v>1921.3134</v>
      </c>
      <c r="V647" s="48">
        <f>ROUND((M647*I644+1.3*M647*K644+S647*H644),4)</f>
        <v>2129.5259999999998</v>
      </c>
      <c r="W647" s="48">
        <f>ROUND((L647*J644+1.3*L647*N644+S647*G644),4)</f>
        <v>35.520000000000003</v>
      </c>
      <c r="X647" s="48">
        <f>ROUND((M647*0.9*J644+1.3*M647*0.9*N644+S647*G644),4)</f>
        <v>38.030999999999999</v>
      </c>
      <c r="Y647" s="48">
        <f>ROUND((M647*J644+1.3*N644+S647*G644),4)</f>
        <v>36.92</v>
      </c>
      <c r="Z647" s="49">
        <f>ROUND((P644*T647*F644*O644/1000000),4)</f>
        <v>0.32040000000000002</v>
      </c>
      <c r="AA647" s="49">
        <f>ROUND((Q644*U647*F644*O644/1000000),4)</f>
        <v>5.7599999999999998E-2</v>
      </c>
      <c r="AB647" s="49">
        <f>ROUND((R644*V647*F644*O644/1000000),4)</f>
        <v>6.3899999999999998E-2</v>
      </c>
      <c r="AC647" s="50" t="s">
        <v>205</v>
      </c>
      <c r="AD647" s="51" t="s">
        <v>206</v>
      </c>
      <c r="AE647" s="44">
        <f>ROUND((((X647*E644)/1800)),4)</f>
        <v>2.1100000000000001E-2</v>
      </c>
      <c r="AF647" s="44">
        <f>ROUND(((Z647+AA647+AB647)),4)</f>
        <v>0.44190000000000002</v>
      </c>
    </row>
    <row r="648" spans="1:32" ht="12.95" customHeight="1" x14ac:dyDescent="0.25">
      <c r="A648" s="52"/>
      <c r="B648" s="53"/>
      <c r="C648" s="52"/>
      <c r="D648" s="52"/>
      <c r="E648" s="52"/>
      <c r="F648" s="52"/>
      <c r="G648" s="52"/>
      <c r="H648" s="52"/>
      <c r="I648" s="52"/>
      <c r="J648" s="52"/>
      <c r="K648" s="52"/>
      <c r="L648" s="59">
        <v>0.72</v>
      </c>
      <c r="M648" s="59">
        <v>1.08</v>
      </c>
      <c r="N648" s="52"/>
      <c r="O648" s="52"/>
      <c r="P648" s="63"/>
      <c r="Q648" s="63"/>
      <c r="R648" s="52"/>
      <c r="S648" s="61">
        <v>0.17</v>
      </c>
      <c r="T648" s="48">
        <f>ROUND((L648*I644+1.3*L648*K644+S648*H644),4)</f>
        <v>1104.4559999999999</v>
      </c>
      <c r="U648" s="48">
        <f>ROUND((M648*0.9*I644+1.3*M648*0.9*K644+S648*H644),4)</f>
        <v>1487.4456</v>
      </c>
      <c r="V648" s="48">
        <f>ROUND((M648*I644+1.3*M648*K644+S648*H644),4)</f>
        <v>1651.5840000000001</v>
      </c>
      <c r="W648" s="48">
        <f>ROUND((L648*J644+1.3*L648*N644+S648*G644),4)</f>
        <v>20.46</v>
      </c>
      <c r="X648" s="48">
        <f>ROUND((M648*0.9*J644+1.3*M648*0.9*N644+S648*G644),4)</f>
        <v>27.263999999999999</v>
      </c>
      <c r="Y648" s="48">
        <f>ROUND((M648*J644+1.3*M648*N644+S648*G644),4)</f>
        <v>30.18</v>
      </c>
      <c r="Z648" s="49">
        <f>ROUND((P644*T648*F644*O644/1000000),4)</f>
        <v>0.1988</v>
      </c>
      <c r="AA648" s="49">
        <f>ROUND((Q644*U648*F644*O644/1000000),4)</f>
        <v>4.4600000000000001E-2</v>
      </c>
      <c r="AB648" s="49">
        <f>ROUND((R644*V648*F644*O644/1000000),4)</f>
        <v>4.9500000000000002E-2</v>
      </c>
      <c r="AC648" s="50" t="s">
        <v>250</v>
      </c>
      <c r="AD648" s="51" t="s">
        <v>208</v>
      </c>
      <c r="AE648" s="44">
        <f>ROUND((((X648*E644)/1800)),4)</f>
        <v>1.5100000000000001E-2</v>
      </c>
      <c r="AF648" s="44">
        <f>ROUND(((Z648+AA648+AB648)),4)</f>
        <v>0.29289999999999999</v>
      </c>
    </row>
    <row r="649" spans="1:32" ht="12.95" customHeight="1" x14ac:dyDescent="0.25">
      <c r="A649" s="52"/>
      <c r="B649" s="62"/>
      <c r="C649" s="56"/>
      <c r="D649" s="56"/>
      <c r="E649" s="56"/>
      <c r="F649" s="56"/>
      <c r="G649" s="56"/>
      <c r="H649" s="56"/>
      <c r="I649" s="56"/>
      <c r="J649" s="56"/>
      <c r="K649" s="56"/>
      <c r="L649" s="59">
        <v>3.37</v>
      </c>
      <c r="M649" s="59">
        <v>4.1100000000000003</v>
      </c>
      <c r="N649" s="56"/>
      <c r="O649" s="56"/>
      <c r="P649" s="66"/>
      <c r="Q649" s="66"/>
      <c r="R649" s="56"/>
      <c r="S649" s="61">
        <v>6.31</v>
      </c>
      <c r="T649" s="48">
        <f>ROUND((L649*I644+1.3*L649*K644+S649*H644),4)</f>
        <v>5500.326</v>
      </c>
      <c r="U649" s="48">
        <f>ROUND((M649*0.9*I644+1.3*M649*0.9*K644+S649*H644),4)</f>
        <v>6000.3401999999996</v>
      </c>
      <c r="V649" s="48">
        <f>ROUND((M649*I644+1.3*M649*K644+S649*H644),4)</f>
        <v>6624.9780000000001</v>
      </c>
      <c r="W649" s="48">
        <f>ROUND((L649*J644+1.3*L649*N644+S649*G644),4)</f>
        <v>128.85</v>
      </c>
      <c r="X649" s="48">
        <f>ROUND((M649*0.9*J644+1.3*M649*0.9*N644+S649*G644),4)</f>
        <v>137.733</v>
      </c>
      <c r="Y649" s="48">
        <f>ROUND((M649*J644+1.3*M649*N644+S649*G644),4)</f>
        <v>148.83000000000001</v>
      </c>
      <c r="Z649" s="49">
        <f>ROUND((P644*T649*F644*O644/1000000),4)</f>
        <v>0.99009999999999998</v>
      </c>
      <c r="AA649" s="49">
        <f>ROUND((Q644*U649*F644*O644/1000000),4)</f>
        <v>0.18</v>
      </c>
      <c r="AB649" s="49">
        <f>ROUND((R644*V649*F644*O644/1000000),4)</f>
        <v>0.19869999999999999</v>
      </c>
      <c r="AC649" s="50" t="s">
        <v>170</v>
      </c>
      <c r="AD649" s="51" t="s">
        <v>162</v>
      </c>
      <c r="AE649" s="44">
        <f>ROUND((((X649*E644)/1800)),4)</f>
        <v>7.6499999999999999E-2</v>
      </c>
      <c r="AF649" s="44">
        <f>ROUND(((Z649+AA649+AB649)),4)</f>
        <v>1.3688</v>
      </c>
    </row>
    <row r="650" spans="1:32" ht="12.95" customHeight="1" x14ac:dyDescent="0.25">
      <c r="A650" s="52"/>
      <c r="B650" s="67" t="s">
        <v>214</v>
      </c>
      <c r="C650" s="46">
        <v>7</v>
      </c>
      <c r="D650" s="45" t="s">
        <v>217</v>
      </c>
      <c r="E650" s="45">
        <v>1</v>
      </c>
      <c r="F650" s="45">
        <v>4</v>
      </c>
      <c r="G650" s="45">
        <v>6</v>
      </c>
      <c r="H650" s="45">
        <v>60</v>
      </c>
      <c r="I650" s="45">
        <f>(8-1-0.75*2)*60*F650-K650-8*0.12*60</f>
        <v>404.4</v>
      </c>
      <c r="J650" s="45">
        <v>14</v>
      </c>
      <c r="K650" s="45">
        <f>(8-1-0.75*2)*0.65*60*F650</f>
        <v>858</v>
      </c>
      <c r="L650" s="48">
        <v>10.16</v>
      </c>
      <c r="M650" s="48">
        <v>10.16</v>
      </c>
      <c r="N650" s="45">
        <v>10</v>
      </c>
      <c r="O650" s="45">
        <f>E650/F650</f>
        <v>0.25</v>
      </c>
      <c r="P650" s="45">
        <v>180</v>
      </c>
      <c r="Q650" s="45">
        <v>30</v>
      </c>
      <c r="R650" s="47">
        <v>30</v>
      </c>
      <c r="S650" s="47">
        <v>1.99</v>
      </c>
      <c r="T650" s="48">
        <f>ROUND((L650*I650+1.3*L650*K650+S650*H650),4)</f>
        <v>15560.567999999999</v>
      </c>
      <c r="U650" s="48">
        <f>ROUND((M650*I650+1.3*M650*K650+S650*H650),4)</f>
        <v>15560.567999999999</v>
      </c>
      <c r="V650" s="48">
        <f>ROUND((M650*I650+1.3*M650*K650+S650*H650),4)</f>
        <v>15560.567999999999</v>
      </c>
      <c r="W650" s="48">
        <f>ROUND((L650*J650+1.3*L650*N650+S650*G650),4)</f>
        <v>286.26</v>
      </c>
      <c r="X650" s="48">
        <f>ROUND((M650*J650+1.3*M650*N650+S650*G650),4)</f>
        <v>286.26</v>
      </c>
      <c r="Y650" s="48">
        <f>ROUND((M650*J650+1.3*M650*N650+S650*G650),4)</f>
        <v>286.26</v>
      </c>
      <c r="Z650" s="49">
        <f>ROUND((P650*T650*F650*O650/1000000),4)</f>
        <v>2.8008999999999999</v>
      </c>
      <c r="AA650" s="49">
        <f>ROUND((Q650*U650*F650*O650/1000000),4)</f>
        <v>0.46679999999999999</v>
      </c>
      <c r="AB650" s="49">
        <f>ROUND((R650*V650*F650*O650/1000000),4)</f>
        <v>0.46679999999999999</v>
      </c>
      <c r="AC650" s="50" t="s">
        <v>200</v>
      </c>
      <c r="AD650" s="51" t="s">
        <v>153</v>
      </c>
      <c r="AE650" s="44">
        <f>ROUND((((X650*E650)/1800)*0.8),4)</f>
        <v>0.12720000000000001</v>
      </c>
      <c r="AF650" s="44">
        <f>ROUND(((Z650+AA650+AB650)*0.8),4)</f>
        <v>2.9876</v>
      </c>
    </row>
    <row r="651" spans="1:32" ht="12.95" customHeight="1" x14ac:dyDescent="0.25">
      <c r="A651" s="52"/>
      <c r="B651" s="53" t="s">
        <v>216</v>
      </c>
      <c r="C651" s="52"/>
      <c r="D651" s="52"/>
      <c r="E651" s="52"/>
      <c r="F651" s="63"/>
      <c r="G651" s="52"/>
      <c r="H651" s="52"/>
      <c r="I651" s="52"/>
      <c r="J651" s="52"/>
      <c r="K651" s="52"/>
      <c r="L651" s="56"/>
      <c r="M651" s="56"/>
      <c r="N651" s="52"/>
      <c r="O651" s="52"/>
      <c r="P651" s="52"/>
      <c r="Q651" s="52"/>
      <c r="R651" s="52"/>
      <c r="S651" s="57"/>
      <c r="T651" s="54"/>
      <c r="U651" s="54"/>
      <c r="V651" s="54"/>
      <c r="W651" s="54"/>
      <c r="X651" s="54"/>
      <c r="Y651" s="54"/>
      <c r="Z651" s="54"/>
      <c r="AA651" s="54"/>
      <c r="AB651" s="54"/>
      <c r="AC651" s="50" t="s">
        <v>201</v>
      </c>
      <c r="AD651" s="51" t="s">
        <v>202</v>
      </c>
      <c r="AE651" s="44">
        <f>ROUND((((X650*E650)/1800)*0.13),4)</f>
        <v>2.07E-2</v>
      </c>
      <c r="AF651" s="44">
        <f>ROUND(((Z650+AA650+AB650)*0.13),4)</f>
        <v>0.48549999999999999</v>
      </c>
    </row>
    <row r="652" spans="1:32" ht="12.95" customHeight="1" x14ac:dyDescent="0.25">
      <c r="A652" s="52"/>
      <c r="B652" s="88"/>
      <c r="C652" s="55"/>
      <c r="D652" s="55"/>
      <c r="E652" s="52"/>
      <c r="F652" s="63"/>
      <c r="G652" s="52"/>
      <c r="H652" s="52"/>
      <c r="I652" s="52"/>
      <c r="J652" s="52"/>
      <c r="K652" s="52"/>
      <c r="L652" s="59">
        <v>0.8</v>
      </c>
      <c r="M652" s="59">
        <v>0.98</v>
      </c>
      <c r="N652" s="52"/>
      <c r="O652" s="52"/>
      <c r="P652" s="52"/>
      <c r="Q652" s="52"/>
      <c r="R652" s="52"/>
      <c r="S652" s="60">
        <v>0.39</v>
      </c>
      <c r="T652" s="48">
        <f>ROUND((L652*I650+1.3*L652*K650+S652*H650),4)</f>
        <v>1239.24</v>
      </c>
      <c r="U652" s="48">
        <f>ROUND((M652*0.9*I650+1.3*M652*0.9*K650+S652*H650),4)</f>
        <v>1363.8635999999999</v>
      </c>
      <c r="V652" s="48">
        <f>ROUND((M652*I650+1.3*M652*K650+S652*H650),4)</f>
        <v>1512.8040000000001</v>
      </c>
      <c r="W652" s="48">
        <f>ROUND((L652*J650+1.3*L652*N650+S652*G650),4)</f>
        <v>23.94</v>
      </c>
      <c r="X652" s="48">
        <f>ROUND((M652*0.9*J650+1.3*M652*0.9*N650+S652*G650),4)</f>
        <v>26.154</v>
      </c>
      <c r="Y652" s="48">
        <f>ROUND((M652*J650+1.3*M652*N650+S652*G650),4)</f>
        <v>28.8</v>
      </c>
      <c r="Z652" s="49">
        <f>ROUND((P650*T652*F650*O650/1000000),4)</f>
        <v>0.22309999999999999</v>
      </c>
      <c r="AA652" s="49">
        <f>ROUND((Q650*U652*F650*O650/1000000),4)</f>
        <v>4.0899999999999999E-2</v>
      </c>
      <c r="AB652" s="49">
        <f>ROUND((R650*V652*F650*O650/1000000),4)</f>
        <v>4.5400000000000003E-2</v>
      </c>
      <c r="AC652" s="50" t="s">
        <v>203</v>
      </c>
      <c r="AD652" s="51" t="s">
        <v>204</v>
      </c>
      <c r="AE652" s="44">
        <f>ROUND((((X652*E650)/1800)),4)</f>
        <v>1.4500000000000001E-2</v>
      </c>
      <c r="AF652" s="44">
        <f>ROUND(((Z652+AA652+AB652)),5)</f>
        <v>0.30940000000000001</v>
      </c>
    </row>
    <row r="653" spans="1:32" ht="12.95" customHeight="1" x14ac:dyDescent="0.25">
      <c r="A653" s="52"/>
      <c r="B653" s="88"/>
      <c r="C653" s="52"/>
      <c r="D653" s="52"/>
      <c r="E653" s="52"/>
      <c r="F653" s="63"/>
      <c r="G653" s="52"/>
      <c r="H653" s="52"/>
      <c r="I653" s="52"/>
      <c r="J653" s="52"/>
      <c r="K653" s="52"/>
      <c r="L653" s="59">
        <v>1.79</v>
      </c>
      <c r="M653" s="59">
        <v>2.15</v>
      </c>
      <c r="N653" s="52"/>
      <c r="O653" s="52"/>
      <c r="P653" s="52"/>
      <c r="Q653" s="52"/>
      <c r="R653" s="52"/>
      <c r="S653" s="61">
        <v>1.24</v>
      </c>
      <c r="T653" s="48">
        <f>ROUND((L653*I650+1.3*L653*K650+S653*H650),4)</f>
        <v>2794.8420000000001</v>
      </c>
      <c r="U653" s="48">
        <f>ROUND((M653*0.9*I650+1.3*M653*0.9*K650+S653*H650),4)</f>
        <v>3015.2130000000002</v>
      </c>
      <c r="V653" s="48">
        <f>ROUND((M653*I650+1.3*M653*K650+S653*H650),4)</f>
        <v>3341.97</v>
      </c>
      <c r="W653" s="48">
        <f>ROUND((L653*J650+1.3*L653*N650+S653*G650),4)</f>
        <v>55.77</v>
      </c>
      <c r="X653" s="48">
        <f>ROUND((M653*0.9*J650+1.3*M653*0.9*N650+S653*G650),4)</f>
        <v>59.685000000000002</v>
      </c>
      <c r="Y653" s="48">
        <f>ROUND((M653*J650+1.3*N650+S653*G650),4)</f>
        <v>50.54</v>
      </c>
      <c r="Z653" s="49">
        <f>ROUND((P650*T653*F650*O650/1000000),4)</f>
        <v>0.50309999999999999</v>
      </c>
      <c r="AA653" s="49">
        <f>ROUND((Q650*U653*F650*O650/1000000),4)</f>
        <v>9.0499999999999997E-2</v>
      </c>
      <c r="AB653" s="49">
        <f>ROUND((R650*V653*F650*O650/1000000),4)</f>
        <v>0.1003</v>
      </c>
      <c r="AC653" s="50" t="s">
        <v>205</v>
      </c>
      <c r="AD653" s="51" t="s">
        <v>206</v>
      </c>
      <c r="AE653" s="44">
        <f>ROUND((((X653*E650)/1800)),4)</f>
        <v>3.32E-2</v>
      </c>
      <c r="AF653" s="44">
        <f>ROUND(((Z653+AA653+AB653)),4)</f>
        <v>0.69389999999999996</v>
      </c>
    </row>
    <row r="654" spans="1:32" ht="12.95" customHeight="1" x14ac:dyDescent="0.25">
      <c r="A654" s="52"/>
      <c r="B654" s="53"/>
      <c r="C654" s="52"/>
      <c r="D654" s="52"/>
      <c r="E654" s="52"/>
      <c r="F654" s="63"/>
      <c r="G654" s="52"/>
      <c r="H654" s="52"/>
      <c r="I654" s="52"/>
      <c r="J654" s="52"/>
      <c r="K654" s="52"/>
      <c r="L654" s="59">
        <v>1.1299999999999999</v>
      </c>
      <c r="M654" s="59">
        <v>1.7</v>
      </c>
      <c r="N654" s="52"/>
      <c r="O654" s="52"/>
      <c r="P654" s="52"/>
      <c r="Q654" s="52"/>
      <c r="R654" s="52"/>
      <c r="S654" s="61">
        <v>0.26</v>
      </c>
      <c r="T654" s="48">
        <f>ROUND((L654*I650+1.3*L654*K650+S654*H650),4)</f>
        <v>1732.9739999999999</v>
      </c>
      <c r="U654" s="48">
        <f>ROUND((M654*0.9*I650+1.3*M654*0.9*K650+S654*H650),4)</f>
        <v>2340.8939999999998</v>
      </c>
      <c r="V654" s="48">
        <f>ROUND((M654*I650+1.3*M654*K650+S654*H650),4)</f>
        <v>2599.2600000000002</v>
      </c>
      <c r="W654" s="48">
        <f>ROUND((L654*J650+1.3*L654*N650+S654*G650),4)</f>
        <v>32.07</v>
      </c>
      <c r="X654" s="48">
        <f>ROUND((M654*0.9*J650+1.3*M654*0.9*N650+S654*G650),4)</f>
        <v>42.87</v>
      </c>
      <c r="Y654" s="48">
        <f>ROUND((M654*J650+1.3*M654*N650+S654*G650),4)</f>
        <v>47.46</v>
      </c>
      <c r="Z654" s="49">
        <f>ROUND((P650*T654*F650*O650/1000000),4)</f>
        <v>0.31190000000000001</v>
      </c>
      <c r="AA654" s="49">
        <f>ROUND((Q650*U654*F650*O650/1000000),4)</f>
        <v>7.0199999999999999E-2</v>
      </c>
      <c r="AB654" s="49">
        <f>ROUND((R650*V654*F650*O650/1000000),4)</f>
        <v>7.8E-2</v>
      </c>
      <c r="AC654" s="50" t="s">
        <v>250</v>
      </c>
      <c r="AD654" s="51" t="s">
        <v>208</v>
      </c>
      <c r="AE654" s="44">
        <f>ROUND((((X654*E650)/1800)),4)</f>
        <v>2.3800000000000002E-2</v>
      </c>
      <c r="AF654" s="44">
        <f>ROUND(((Z654+AA654+AB654)),4)</f>
        <v>0.46010000000000001</v>
      </c>
    </row>
    <row r="655" spans="1:32" ht="12.95" customHeight="1" x14ac:dyDescent="0.25">
      <c r="A655" s="52"/>
      <c r="B655" s="62"/>
      <c r="C655" s="56"/>
      <c r="D655" s="56"/>
      <c r="E655" s="56"/>
      <c r="F655" s="66"/>
      <c r="G655" s="56"/>
      <c r="H655" s="56"/>
      <c r="I655" s="56"/>
      <c r="J655" s="56"/>
      <c r="K655" s="56"/>
      <c r="L655" s="59">
        <v>5.3</v>
      </c>
      <c r="M655" s="59">
        <v>6.47</v>
      </c>
      <c r="N655" s="56"/>
      <c r="O655" s="56"/>
      <c r="P655" s="56"/>
      <c r="Q655" s="56"/>
      <c r="R655" s="56"/>
      <c r="S655" s="61">
        <v>9.92</v>
      </c>
      <c r="T655" s="48">
        <f>ROUND((L655*I650+1.3*L655*K650+S655*H650),4)</f>
        <v>8650.14</v>
      </c>
      <c r="U655" s="48">
        <f>ROUND((M655*0.9*I650+1.3*M655*0.9*K650+S655*H650),4)</f>
        <v>9444.9953999999998</v>
      </c>
      <c r="V655" s="48">
        <f>ROUND((M655*I650+1.3*M655*K650+S655*H650),4)</f>
        <v>10428.306</v>
      </c>
      <c r="W655" s="48">
        <f>ROUND((L655*J650+1.3*L655*N650+S655*G650),4)</f>
        <v>202.62</v>
      </c>
      <c r="X655" s="48">
        <f>ROUND((M655*0.9*J650+1.3*M655*0.9*N650+S655*G650),4)</f>
        <v>216.74100000000001</v>
      </c>
      <c r="Y655" s="48">
        <f>ROUND((M655*J650+1.3*M655*N650+S655*G650),4)</f>
        <v>234.21</v>
      </c>
      <c r="Z655" s="49">
        <f>ROUND((P650*T655*F650*O650/1000000),4)</f>
        <v>1.5569999999999999</v>
      </c>
      <c r="AA655" s="49">
        <f>ROUND((Q650*U655*F650*O650/1000000),4)</f>
        <v>0.2833</v>
      </c>
      <c r="AB655" s="49">
        <f>ROUND((R650*V655*F650*O650/1000000),4)</f>
        <v>0.31280000000000002</v>
      </c>
      <c r="AC655" s="50" t="s">
        <v>170</v>
      </c>
      <c r="AD655" s="51" t="s">
        <v>162</v>
      </c>
      <c r="AE655" s="44">
        <f>ROUND((((X655*E650)/1800)),4)</f>
        <v>0.12039999999999999</v>
      </c>
      <c r="AF655" s="44">
        <f>ROUND(((Z655+AA655+AB655)),4)</f>
        <v>2.1530999999999998</v>
      </c>
    </row>
    <row r="656" spans="1:32" ht="12.95" customHeight="1" x14ac:dyDescent="0.25">
      <c r="A656" s="52"/>
      <c r="B656" s="67" t="s">
        <v>220</v>
      </c>
      <c r="C656" s="46">
        <v>7</v>
      </c>
      <c r="D656" s="45" t="s">
        <v>217</v>
      </c>
      <c r="E656" s="45">
        <v>1</v>
      </c>
      <c r="F656" s="45">
        <v>5</v>
      </c>
      <c r="G656" s="45">
        <v>6</v>
      </c>
      <c r="H656" s="45">
        <v>60</v>
      </c>
      <c r="I656" s="45">
        <f>(8-1-0.75*2)*60*F656-K656-8*0.12*60</f>
        <v>519.9</v>
      </c>
      <c r="J656" s="45">
        <v>14</v>
      </c>
      <c r="K656" s="45">
        <f>(8-1-0.75*2)*0.65*60*F656</f>
        <v>1072.5</v>
      </c>
      <c r="L656" s="48">
        <v>10.16</v>
      </c>
      <c r="M656" s="48">
        <v>10.16</v>
      </c>
      <c r="N656" s="45">
        <v>10</v>
      </c>
      <c r="O656" s="45">
        <f>E656/F656</f>
        <v>0.2</v>
      </c>
      <c r="P656" s="45">
        <v>120</v>
      </c>
      <c r="Q656" s="45">
        <v>30</v>
      </c>
      <c r="R656" s="47">
        <v>30</v>
      </c>
      <c r="S656" s="47">
        <v>1.99</v>
      </c>
      <c r="T656" s="48">
        <f>ROUND((L656*I656+1.3*L656*K656+S656*H656),4)</f>
        <v>19567.164000000001</v>
      </c>
      <c r="U656" s="48">
        <f>ROUND((M656*I656+1.3*M656*K656+S656*H656),4)</f>
        <v>19567.164000000001</v>
      </c>
      <c r="V656" s="48">
        <f>ROUND((M656*I656+1.3*M656*K656+S656*H656),4)</f>
        <v>19567.164000000001</v>
      </c>
      <c r="W656" s="48">
        <f>ROUND((L656*J656+1.3*L656*N656+S656*G656),4)</f>
        <v>286.26</v>
      </c>
      <c r="X656" s="48">
        <f>ROUND((M656*J656+1.3*M656*N656+S656*G656),4)</f>
        <v>286.26</v>
      </c>
      <c r="Y656" s="48">
        <f>ROUND((M656*J656+1.3*M656*N656+S656*G656),4)</f>
        <v>286.26</v>
      </c>
      <c r="Z656" s="49">
        <f>ROUND((P656*T656*F656*O656/1000000),4)</f>
        <v>2.3481000000000001</v>
      </c>
      <c r="AA656" s="49">
        <f>ROUND((Q656*U656*F656*O656/1000000),4)</f>
        <v>0.58699999999999997</v>
      </c>
      <c r="AB656" s="49">
        <f>ROUND((R656*V656*F656*O656/1000000),4)</f>
        <v>0.58699999999999997</v>
      </c>
      <c r="AC656" s="50" t="s">
        <v>200</v>
      </c>
      <c r="AD656" s="51" t="s">
        <v>153</v>
      </c>
      <c r="AE656" s="44">
        <f>ROUND((((X656*E656)/1800)*0.8),4)</f>
        <v>0.12720000000000001</v>
      </c>
      <c r="AF656" s="44">
        <f>ROUND(((Z656+AA656+AB656)*0.8),4)</f>
        <v>2.8176999999999999</v>
      </c>
    </row>
    <row r="657" spans="1:34" ht="12.95" customHeight="1" x14ac:dyDescent="0.25">
      <c r="A657" s="52"/>
      <c r="B657" s="53" t="s">
        <v>221</v>
      </c>
      <c r="C657" s="52"/>
      <c r="D657" s="52"/>
      <c r="E657" s="52"/>
      <c r="F657" s="52"/>
      <c r="G657" s="52"/>
      <c r="H657" s="52"/>
      <c r="I657" s="52"/>
      <c r="J657" s="52"/>
      <c r="K657" s="52"/>
      <c r="L657" s="56"/>
      <c r="M657" s="56"/>
      <c r="N657" s="52"/>
      <c r="O657" s="52"/>
      <c r="P657" s="52"/>
      <c r="Q657" s="52"/>
      <c r="R657" s="52"/>
      <c r="S657" s="57"/>
      <c r="T657" s="54"/>
      <c r="U657" s="54"/>
      <c r="V657" s="54"/>
      <c r="W657" s="54"/>
      <c r="X657" s="54"/>
      <c r="Y657" s="54"/>
      <c r="Z657" s="54"/>
      <c r="AA657" s="54"/>
      <c r="AB657" s="54"/>
      <c r="AC657" s="50" t="s">
        <v>201</v>
      </c>
      <c r="AD657" s="51" t="s">
        <v>202</v>
      </c>
      <c r="AE657" s="44">
        <f>ROUND((((X656*E656)/1800)*0.13),4)</f>
        <v>2.07E-2</v>
      </c>
      <c r="AF657" s="44">
        <f>ROUND(((Z656+AA656+AB656)*0.13),4)</f>
        <v>0.45789999999999997</v>
      </c>
    </row>
    <row r="658" spans="1:34" ht="12.95" customHeight="1" x14ac:dyDescent="0.25">
      <c r="A658" s="52"/>
      <c r="B658" s="88"/>
      <c r="C658" s="55"/>
      <c r="D658" s="55"/>
      <c r="E658" s="52"/>
      <c r="F658" s="52"/>
      <c r="G658" s="52"/>
      <c r="H658" s="52"/>
      <c r="I658" s="52"/>
      <c r="J658" s="52"/>
      <c r="K658" s="52"/>
      <c r="L658" s="59">
        <v>0.8</v>
      </c>
      <c r="M658" s="59">
        <v>0.98</v>
      </c>
      <c r="N658" s="52"/>
      <c r="O658" s="52"/>
      <c r="P658" s="52"/>
      <c r="Q658" s="52"/>
      <c r="R658" s="52"/>
      <c r="S658" s="60">
        <v>0.39</v>
      </c>
      <c r="T658" s="48">
        <f>ROUND((L658*I656+1.3*L658*K656+S658*H656),4)</f>
        <v>1554.72</v>
      </c>
      <c r="U658" s="48">
        <f>ROUND((M658*0.9*I656+1.3*M658*0.9*K656+S658*H656),4)</f>
        <v>1711.6803</v>
      </c>
      <c r="V658" s="48">
        <f>ROUND((M658*I656+1.3*M658*K656+S658*H656),4)</f>
        <v>1899.2670000000001</v>
      </c>
      <c r="W658" s="48">
        <f>ROUND((L658*J656+1.3*L658*N656+S658*G656),4)</f>
        <v>23.94</v>
      </c>
      <c r="X658" s="48">
        <f>ROUND((M658*0.9*J656+1.3*M658*0.9*N656+S658*G656),4)</f>
        <v>26.154</v>
      </c>
      <c r="Y658" s="48">
        <f>ROUND((M658*J656+1.3*M658*N656+S658*G656),4)</f>
        <v>28.8</v>
      </c>
      <c r="Z658" s="49">
        <f>ROUND((P656*T658*F656*O656/1000000),4)</f>
        <v>0.18659999999999999</v>
      </c>
      <c r="AA658" s="49">
        <f>ROUND((Q656*U658*F656*O656/1000000),4)</f>
        <v>5.1400000000000001E-2</v>
      </c>
      <c r="AB658" s="49">
        <f>ROUND((R656*V658*F656*O656/1000000),4)</f>
        <v>5.7000000000000002E-2</v>
      </c>
      <c r="AC658" s="50" t="s">
        <v>203</v>
      </c>
      <c r="AD658" s="51" t="s">
        <v>204</v>
      </c>
      <c r="AE658" s="44">
        <f>ROUND((((X658*E656)/1800)),4)</f>
        <v>1.4500000000000001E-2</v>
      </c>
      <c r="AF658" s="44">
        <f>ROUND(((Z658+AA658+AB658)),5)</f>
        <v>0.29499999999999998</v>
      </c>
    </row>
    <row r="659" spans="1:34" ht="12.95" customHeight="1" x14ac:dyDescent="0.25">
      <c r="A659" s="52"/>
      <c r="B659" s="88"/>
      <c r="C659" s="52"/>
      <c r="D659" s="52"/>
      <c r="E659" s="52"/>
      <c r="F659" s="52"/>
      <c r="G659" s="52"/>
      <c r="H659" s="52"/>
      <c r="I659" s="52"/>
      <c r="J659" s="52"/>
      <c r="K659" s="52"/>
      <c r="L659" s="59">
        <v>1.79</v>
      </c>
      <c r="M659" s="59">
        <v>2.15</v>
      </c>
      <c r="N659" s="52"/>
      <c r="O659" s="52"/>
      <c r="P659" s="52"/>
      <c r="Q659" s="52"/>
      <c r="R659" s="52"/>
      <c r="S659" s="61">
        <v>1.24</v>
      </c>
      <c r="T659" s="48">
        <f>ROUND((L659*I656+1.3*L659*K656+S659*H656),4)</f>
        <v>3500.7285000000002</v>
      </c>
      <c r="U659" s="48">
        <f>ROUND((M659*0.9*I656+1.3*M659*0.9*K656+S659*H656),4)</f>
        <v>3778.2802999999999</v>
      </c>
      <c r="V659" s="48">
        <f>ROUND((M659*I656+1.3*M659*K656+S659*H656),4)</f>
        <v>4189.8225000000002</v>
      </c>
      <c r="W659" s="48">
        <f>ROUND((L659*J656+1.3*L659*N656+S659*G656),4)</f>
        <v>55.77</v>
      </c>
      <c r="X659" s="48">
        <f>ROUND((M659*0.9*J656+1.3*M659*0.9*N656+S659*G656),4)</f>
        <v>59.685000000000002</v>
      </c>
      <c r="Y659" s="48">
        <f>ROUND((M659*J656+1.3*N656+S659*G656),4)</f>
        <v>50.54</v>
      </c>
      <c r="Z659" s="49">
        <f>ROUND((P656*T659*F656*O656/1000000),4)</f>
        <v>0.42009999999999997</v>
      </c>
      <c r="AA659" s="49">
        <f>ROUND((Q656*U659*F656*O656/1000000),4)</f>
        <v>0.1133</v>
      </c>
      <c r="AB659" s="49">
        <f>ROUND((R656*V659*F656*O656/1000000),4)</f>
        <v>0.12570000000000001</v>
      </c>
      <c r="AC659" s="50" t="s">
        <v>205</v>
      </c>
      <c r="AD659" s="51" t="s">
        <v>206</v>
      </c>
      <c r="AE659" s="44">
        <f>ROUND((((X659*E656)/1800)),4)</f>
        <v>3.32E-2</v>
      </c>
      <c r="AF659" s="44">
        <f>ROUND(((Z659+AA659+AB659)),4)</f>
        <v>0.65910000000000002</v>
      </c>
    </row>
    <row r="660" spans="1:34" ht="12.95" customHeight="1" x14ac:dyDescent="0.25">
      <c r="A660" s="52"/>
      <c r="B660" s="53"/>
      <c r="C660" s="52"/>
      <c r="D660" s="52"/>
      <c r="E660" s="52"/>
      <c r="F660" s="52"/>
      <c r="G660" s="52"/>
      <c r="H660" s="52"/>
      <c r="I660" s="52"/>
      <c r="J660" s="52"/>
      <c r="K660" s="52"/>
      <c r="L660" s="59">
        <v>1.1299999999999999</v>
      </c>
      <c r="M660" s="59">
        <v>1.7</v>
      </c>
      <c r="N660" s="52"/>
      <c r="O660" s="52"/>
      <c r="P660" s="52"/>
      <c r="Q660" s="52"/>
      <c r="R660" s="52"/>
      <c r="S660" s="61">
        <v>0.26</v>
      </c>
      <c r="T660" s="48">
        <f>ROUND((L660*I656+1.3*L660*K656+S660*H656),4)</f>
        <v>2178.5895</v>
      </c>
      <c r="U660" s="48">
        <f>ROUND((M660*0.9*I656+1.3*M660*0.9*K656+S660*H656),4)</f>
        <v>2944.2494999999999</v>
      </c>
      <c r="V660" s="48">
        <f>ROUND((M660*I656+1.3*M660*K656+S660*H656),4)</f>
        <v>3269.6550000000002</v>
      </c>
      <c r="W660" s="48">
        <f>ROUND((L660*J656+1.3*L660*N656+S660*G656),4)</f>
        <v>32.07</v>
      </c>
      <c r="X660" s="48">
        <f>ROUND((M660*0.9*J656+1.3*M660*0.9*N656+S660*G656),4)</f>
        <v>42.87</v>
      </c>
      <c r="Y660" s="48">
        <f>ROUND((M660*J656+1.3*M660*N656+S660*G656),4)</f>
        <v>47.46</v>
      </c>
      <c r="Z660" s="49">
        <f>ROUND((P656*T660*F656*O656/1000000),4)</f>
        <v>0.26140000000000002</v>
      </c>
      <c r="AA660" s="49">
        <f>ROUND((Q656*U660*F656*O656/1000000),4)</f>
        <v>8.8300000000000003E-2</v>
      </c>
      <c r="AB660" s="49">
        <f>ROUND((R656*V660*F656*O656/1000000),4)</f>
        <v>9.8100000000000007E-2</v>
      </c>
      <c r="AC660" s="50" t="s">
        <v>250</v>
      </c>
      <c r="AD660" s="51" t="s">
        <v>208</v>
      </c>
      <c r="AE660" s="44">
        <f>ROUND((((X660*E656)/1800)),4)</f>
        <v>2.3800000000000002E-2</v>
      </c>
      <c r="AF660" s="44">
        <f>ROUND(((Z660+AA660+AB660)),4)</f>
        <v>0.44779999999999998</v>
      </c>
    </row>
    <row r="661" spans="1:34" ht="12.95" customHeight="1" x14ac:dyDescent="0.25">
      <c r="A661" s="52"/>
      <c r="B661" s="62"/>
      <c r="C661" s="56"/>
      <c r="D661" s="56"/>
      <c r="E661" s="56"/>
      <c r="F661" s="56"/>
      <c r="G661" s="56"/>
      <c r="H661" s="56"/>
      <c r="I661" s="56"/>
      <c r="J661" s="56"/>
      <c r="K661" s="56"/>
      <c r="L661" s="59">
        <v>5.3</v>
      </c>
      <c r="M661" s="59">
        <v>6.47</v>
      </c>
      <c r="N661" s="56"/>
      <c r="O661" s="56"/>
      <c r="P661" s="56"/>
      <c r="Q661" s="56"/>
      <c r="R661" s="56"/>
      <c r="S661" s="61">
        <v>9.92</v>
      </c>
      <c r="T661" s="48">
        <f>ROUND((L661*I656+1.3*L661*K656+S661*H656),4)</f>
        <v>10740.195</v>
      </c>
      <c r="U661" s="48">
        <f>ROUND((M661*0.9*I656+1.3*M661*0.9*K656+S661*H656),4)</f>
        <v>11741.2955</v>
      </c>
      <c r="V661" s="48">
        <f>ROUND((M661*I656+1.3*M661*K656+S661*H656),4)</f>
        <v>12979.7505</v>
      </c>
      <c r="W661" s="48">
        <f>ROUND((L661*J656+1.3*L661*N656+S661*G656),4)</f>
        <v>202.62</v>
      </c>
      <c r="X661" s="48">
        <f>ROUND((M661*0.9*J656+1.3*M661*0.9*N656+S661*G656),4)</f>
        <v>216.74100000000001</v>
      </c>
      <c r="Y661" s="48">
        <f>ROUND((M661*J656+1.3*M661*N656+S661*G656),4)</f>
        <v>234.21</v>
      </c>
      <c r="Z661" s="49">
        <f>ROUND((P656*T661*F656*O656/1000000),4)</f>
        <v>1.2887999999999999</v>
      </c>
      <c r="AA661" s="49">
        <f>ROUND((Q656*U661*F656*O656/1000000),4)</f>
        <v>0.35220000000000001</v>
      </c>
      <c r="AB661" s="49">
        <f>ROUND((R656*V661*F656*O656/1000000),4)</f>
        <v>0.38940000000000002</v>
      </c>
      <c r="AC661" s="50" t="s">
        <v>170</v>
      </c>
      <c r="AD661" s="51" t="s">
        <v>162</v>
      </c>
      <c r="AE661" s="44">
        <f>ROUND((((X661*E656)/1800)),4)</f>
        <v>0.12039999999999999</v>
      </c>
      <c r="AF661" s="44">
        <f>ROUND(((Z661+AA661+AB661)),4)</f>
        <v>2.0304000000000002</v>
      </c>
    </row>
    <row r="662" spans="1:34" ht="12.95" customHeight="1" x14ac:dyDescent="0.25">
      <c r="A662" s="52"/>
      <c r="B662" s="67" t="s">
        <v>220</v>
      </c>
      <c r="C662" s="46">
        <v>7</v>
      </c>
      <c r="D662" s="45" t="s">
        <v>217</v>
      </c>
      <c r="E662" s="45">
        <v>1</v>
      </c>
      <c r="F662" s="45">
        <v>4</v>
      </c>
      <c r="G662" s="45">
        <v>6</v>
      </c>
      <c r="H662" s="45">
        <v>60</v>
      </c>
      <c r="I662" s="45">
        <f>(8-1-0.75*2)*60*F662-K662-8*0.12*60</f>
        <v>404.4</v>
      </c>
      <c r="J662" s="45">
        <v>14</v>
      </c>
      <c r="K662" s="45">
        <f>(8-1-0.75*2)*0.65*60*F662</f>
        <v>858</v>
      </c>
      <c r="L662" s="48">
        <v>10.16</v>
      </c>
      <c r="M662" s="48">
        <v>10.16</v>
      </c>
      <c r="N662" s="45">
        <v>10</v>
      </c>
      <c r="O662" s="45">
        <f>E662/F662</f>
        <v>0.25</v>
      </c>
      <c r="P662" s="45">
        <v>120</v>
      </c>
      <c r="Q662" s="45">
        <v>30</v>
      </c>
      <c r="R662" s="47">
        <v>30</v>
      </c>
      <c r="S662" s="47">
        <v>1.99</v>
      </c>
      <c r="T662" s="48">
        <f>ROUND((L662*I662+1.3*L662*K662+S662*H662),4)</f>
        <v>15560.567999999999</v>
      </c>
      <c r="U662" s="48">
        <f>ROUND((M662*I662+1.3*M662*K662+S662*H662),4)</f>
        <v>15560.567999999999</v>
      </c>
      <c r="V662" s="48">
        <f>ROUND((M662*I662+1.3*M662*K662+S662*H662),4)</f>
        <v>15560.567999999999</v>
      </c>
      <c r="W662" s="48">
        <f>ROUND((L662*J662+1.3*L662*N662+S662*G662),4)</f>
        <v>286.26</v>
      </c>
      <c r="X662" s="48">
        <f>ROUND((M662*J662+1.3*M662*N662+S662*G662),4)</f>
        <v>286.26</v>
      </c>
      <c r="Y662" s="48">
        <f>ROUND((M662*J662+1.3*M662*N662+S662*G662),4)</f>
        <v>286.26</v>
      </c>
      <c r="Z662" s="49">
        <f>ROUND((P662*T662*F662*O662/1000000),4)</f>
        <v>1.8673</v>
      </c>
      <c r="AA662" s="49">
        <f>ROUND((Q662*U662*F662*O662/1000000),4)</f>
        <v>0.46679999999999999</v>
      </c>
      <c r="AB662" s="49">
        <f>ROUND((R662*V662*F662*O662/1000000),4)</f>
        <v>0.46679999999999999</v>
      </c>
      <c r="AC662" s="50" t="s">
        <v>200</v>
      </c>
      <c r="AD662" s="51" t="s">
        <v>153</v>
      </c>
      <c r="AE662" s="44">
        <f>ROUND((((X662*E662)/1800)*0.8),4)</f>
        <v>0.12720000000000001</v>
      </c>
      <c r="AF662" s="44">
        <f>ROUND(((Z662+AA662+AB662)*0.8),4)</f>
        <v>2.2406999999999999</v>
      </c>
    </row>
    <row r="663" spans="1:34" ht="12.95" customHeight="1" x14ac:dyDescent="0.25">
      <c r="A663" s="52"/>
      <c r="B663" s="53" t="s">
        <v>222</v>
      </c>
      <c r="C663" s="52"/>
      <c r="D663" s="52"/>
      <c r="E663" s="52"/>
      <c r="F663" s="63"/>
      <c r="G663" s="52"/>
      <c r="H663" s="52"/>
      <c r="I663" s="52"/>
      <c r="J663" s="52"/>
      <c r="K663" s="52"/>
      <c r="L663" s="56"/>
      <c r="M663" s="56"/>
      <c r="N663" s="52"/>
      <c r="O663" s="52"/>
      <c r="P663" s="52"/>
      <c r="Q663" s="52"/>
      <c r="R663" s="52"/>
      <c r="S663" s="57"/>
      <c r="T663" s="54"/>
      <c r="U663" s="54"/>
      <c r="V663" s="54"/>
      <c r="W663" s="54"/>
      <c r="X663" s="54"/>
      <c r="Y663" s="54"/>
      <c r="Z663" s="54"/>
      <c r="AA663" s="54"/>
      <c r="AB663" s="54"/>
      <c r="AC663" s="50" t="s">
        <v>201</v>
      </c>
      <c r="AD663" s="51" t="s">
        <v>202</v>
      </c>
      <c r="AE663" s="44">
        <f>ROUND((((X662*E662)/1800)*0.13),4)</f>
        <v>2.07E-2</v>
      </c>
      <c r="AF663" s="44">
        <f>ROUND(((Z662+AA662+AB662)*0.13),4)</f>
        <v>0.36409999999999998</v>
      </c>
    </row>
    <row r="664" spans="1:34" ht="12.95" customHeight="1" x14ac:dyDescent="0.25">
      <c r="A664" s="52"/>
      <c r="B664" s="88"/>
      <c r="C664" s="55"/>
      <c r="D664" s="55"/>
      <c r="E664" s="52"/>
      <c r="F664" s="63"/>
      <c r="G664" s="52"/>
      <c r="H664" s="52"/>
      <c r="I664" s="52"/>
      <c r="J664" s="52"/>
      <c r="K664" s="52"/>
      <c r="L664" s="59">
        <v>0.8</v>
      </c>
      <c r="M664" s="59">
        <v>0.98</v>
      </c>
      <c r="N664" s="52"/>
      <c r="O664" s="52"/>
      <c r="P664" s="52"/>
      <c r="Q664" s="52"/>
      <c r="R664" s="52"/>
      <c r="S664" s="60">
        <v>0.39</v>
      </c>
      <c r="T664" s="48">
        <f>ROUND((L664*I662+1.3*L664*K662+S664*H662),4)</f>
        <v>1239.24</v>
      </c>
      <c r="U664" s="48">
        <f>ROUND((M664*0.9*I662+1.3*M664*0.9*K662+S664*H662),4)</f>
        <v>1363.8635999999999</v>
      </c>
      <c r="V664" s="48">
        <f>ROUND((M664*I662+1.3*M664*K662+S664*H662),4)</f>
        <v>1512.8040000000001</v>
      </c>
      <c r="W664" s="48">
        <f>ROUND((L664*J662+1.3*L664*N662+S664*G662),4)</f>
        <v>23.94</v>
      </c>
      <c r="X664" s="48">
        <f>ROUND((M664*0.9*J662+1.3*M664*0.9*N662+S664*G662),4)</f>
        <v>26.154</v>
      </c>
      <c r="Y664" s="48">
        <f>ROUND((M664*J662+1.3*M664*N662+S664*G662),4)</f>
        <v>28.8</v>
      </c>
      <c r="Z664" s="49">
        <f>ROUND((P662*T664*F662*O662/1000000),4)</f>
        <v>0.1487</v>
      </c>
      <c r="AA664" s="49">
        <f>ROUND((Q662*U664*F662*O662/1000000),4)</f>
        <v>4.0899999999999999E-2</v>
      </c>
      <c r="AB664" s="49">
        <f>ROUND((R662*V664*F662*O662/1000000),4)</f>
        <v>4.5400000000000003E-2</v>
      </c>
      <c r="AC664" s="50" t="s">
        <v>203</v>
      </c>
      <c r="AD664" s="51" t="s">
        <v>204</v>
      </c>
      <c r="AE664" s="44">
        <f>ROUND((((X664*E662)/1800)),4)</f>
        <v>1.4500000000000001E-2</v>
      </c>
      <c r="AF664" s="44">
        <f>ROUND(((Z664+AA664+AB664)),5)</f>
        <v>0.23499999999999999</v>
      </c>
    </row>
    <row r="665" spans="1:34" ht="12.95" customHeight="1" x14ac:dyDescent="0.25">
      <c r="A665" s="52"/>
      <c r="B665" s="88"/>
      <c r="C665" s="52"/>
      <c r="D665" s="52"/>
      <c r="E665" s="52"/>
      <c r="F665" s="63"/>
      <c r="G665" s="52"/>
      <c r="H665" s="52"/>
      <c r="I665" s="52"/>
      <c r="J665" s="52"/>
      <c r="K665" s="52"/>
      <c r="L665" s="59">
        <v>1.79</v>
      </c>
      <c r="M665" s="59">
        <v>2.15</v>
      </c>
      <c r="N665" s="52"/>
      <c r="O665" s="52"/>
      <c r="P665" s="52"/>
      <c r="Q665" s="52"/>
      <c r="R665" s="52"/>
      <c r="S665" s="61">
        <v>1.24</v>
      </c>
      <c r="T665" s="48">
        <f>ROUND((L665*I662+1.3*L665*K662+S665*H662),4)</f>
        <v>2794.8420000000001</v>
      </c>
      <c r="U665" s="48">
        <f>ROUND((M665*0.9*I662+1.3*M665*0.9*K662+S665*H662),4)</f>
        <v>3015.2130000000002</v>
      </c>
      <c r="V665" s="48">
        <f>ROUND((M665*I662+1.3*M665*K662+S665*H662),4)</f>
        <v>3341.97</v>
      </c>
      <c r="W665" s="48">
        <f>ROUND((L665*J662+1.3*L665*N662+S665*G662),4)</f>
        <v>55.77</v>
      </c>
      <c r="X665" s="48">
        <f>ROUND((M665*0.9*J662+1.3*M665*0.9*N662+S665*G662),4)</f>
        <v>59.685000000000002</v>
      </c>
      <c r="Y665" s="48">
        <f>ROUND((M665*J662+1.3*N662+S665*G662),4)</f>
        <v>50.54</v>
      </c>
      <c r="Z665" s="49">
        <f>ROUND((P662*T665*F662*O662/1000000),4)</f>
        <v>0.33539999999999998</v>
      </c>
      <c r="AA665" s="49">
        <f>ROUND((Q662*U665*F662*O662/1000000),4)</f>
        <v>9.0499999999999997E-2</v>
      </c>
      <c r="AB665" s="49">
        <f>ROUND((R662*V665*F662*O662/1000000),4)</f>
        <v>0.1003</v>
      </c>
      <c r="AC665" s="50" t="s">
        <v>205</v>
      </c>
      <c r="AD665" s="51" t="s">
        <v>206</v>
      </c>
      <c r="AE665" s="44">
        <f>ROUND((((X665*E662)/1800)),4)</f>
        <v>3.32E-2</v>
      </c>
      <c r="AF665" s="44">
        <f>ROUND(((Z665+AA665+AB665)),4)</f>
        <v>0.5262</v>
      </c>
    </row>
    <row r="666" spans="1:34" ht="12.95" customHeight="1" x14ac:dyDescent="0.25">
      <c r="A666" s="52"/>
      <c r="B666" s="53"/>
      <c r="C666" s="52"/>
      <c r="D666" s="52"/>
      <c r="E666" s="52"/>
      <c r="F666" s="63"/>
      <c r="G666" s="52"/>
      <c r="H666" s="52"/>
      <c r="I666" s="52"/>
      <c r="J666" s="52"/>
      <c r="K666" s="52"/>
      <c r="L666" s="59">
        <v>1.1299999999999999</v>
      </c>
      <c r="M666" s="59">
        <v>1.7</v>
      </c>
      <c r="N666" s="52"/>
      <c r="O666" s="52"/>
      <c r="P666" s="52"/>
      <c r="Q666" s="52"/>
      <c r="R666" s="52"/>
      <c r="S666" s="61">
        <v>0.26</v>
      </c>
      <c r="T666" s="48">
        <f>ROUND((L666*I662+1.3*L666*K662+S666*H662),4)</f>
        <v>1732.9739999999999</v>
      </c>
      <c r="U666" s="48">
        <f>ROUND((M666*0.9*I662+1.3*M666*0.9*K662+S666*H662),4)</f>
        <v>2340.8939999999998</v>
      </c>
      <c r="V666" s="48">
        <f>ROUND((M666*I662+1.3*M666*K662+S666*H662),4)</f>
        <v>2599.2600000000002</v>
      </c>
      <c r="W666" s="48">
        <f>ROUND((L666*J662+1.3*L666*N662+S666*G662),4)</f>
        <v>32.07</v>
      </c>
      <c r="X666" s="48">
        <f>ROUND((M666*0.9*J662+1.3*M666*0.9*N662+S666*G662),4)</f>
        <v>42.87</v>
      </c>
      <c r="Y666" s="48">
        <f>ROUND((M666*J662+1.3*M666*N662+S666*G662),4)</f>
        <v>47.46</v>
      </c>
      <c r="Z666" s="49">
        <f>ROUND((P662*T666*F662*O662/1000000),4)</f>
        <v>0.20799999999999999</v>
      </c>
      <c r="AA666" s="49">
        <f>ROUND((Q662*U666*F662*O662/1000000),4)</f>
        <v>7.0199999999999999E-2</v>
      </c>
      <c r="AB666" s="49">
        <f>ROUND((R662*V666*F662*O662/1000000),4)</f>
        <v>7.8E-2</v>
      </c>
      <c r="AC666" s="50" t="s">
        <v>250</v>
      </c>
      <c r="AD666" s="51" t="s">
        <v>208</v>
      </c>
      <c r="AE666" s="44">
        <f>ROUND((((X666*E662)/1800)),4)</f>
        <v>2.3800000000000002E-2</v>
      </c>
      <c r="AF666" s="44">
        <f>ROUND(((Z666+AA666+AB666)),4)</f>
        <v>0.35620000000000002</v>
      </c>
    </row>
    <row r="667" spans="1:34" ht="12.95" customHeight="1" x14ac:dyDescent="0.25">
      <c r="A667" s="52"/>
      <c r="B667" s="62"/>
      <c r="C667" s="56"/>
      <c r="D667" s="56"/>
      <c r="E667" s="56"/>
      <c r="F667" s="66"/>
      <c r="G667" s="56"/>
      <c r="H667" s="56"/>
      <c r="I667" s="56"/>
      <c r="J667" s="56"/>
      <c r="K667" s="56"/>
      <c r="L667" s="59">
        <v>5.3</v>
      </c>
      <c r="M667" s="59">
        <v>6.47</v>
      </c>
      <c r="N667" s="56"/>
      <c r="O667" s="56"/>
      <c r="P667" s="56"/>
      <c r="Q667" s="56"/>
      <c r="R667" s="56"/>
      <c r="S667" s="61">
        <v>9.92</v>
      </c>
      <c r="T667" s="48">
        <f>ROUND((L667*I662+1.3*L667*K662+S667*H662),4)</f>
        <v>8650.14</v>
      </c>
      <c r="U667" s="48">
        <f>ROUND((M667*0.9*I662+1.3*M667*0.9*K662+S667*H662),4)</f>
        <v>9444.9953999999998</v>
      </c>
      <c r="V667" s="48">
        <f>ROUND((M667*I662+1.3*M667*K662+S667*H662),4)</f>
        <v>10428.306</v>
      </c>
      <c r="W667" s="48">
        <f>ROUND((L667*J662+1.3*L667*N662+S667*G662),4)</f>
        <v>202.62</v>
      </c>
      <c r="X667" s="48">
        <f>ROUND((M667*0.9*J662+1.3*M667*0.9*N662+S667*G662),4)</f>
        <v>216.74100000000001</v>
      </c>
      <c r="Y667" s="48">
        <f>ROUND((M667*J662+1.3*M667*N662+S667*G662),4)</f>
        <v>234.21</v>
      </c>
      <c r="Z667" s="49">
        <f>ROUND((P662*T667*F662*O662/1000000),4)</f>
        <v>1.038</v>
      </c>
      <c r="AA667" s="49">
        <f>ROUND((Q662*U667*F662*O662/1000000),4)</f>
        <v>0.2833</v>
      </c>
      <c r="AB667" s="49">
        <f>ROUND((R662*V667*F662*O662/1000000),4)</f>
        <v>0.31280000000000002</v>
      </c>
      <c r="AC667" s="50" t="s">
        <v>170</v>
      </c>
      <c r="AD667" s="51" t="s">
        <v>162</v>
      </c>
      <c r="AE667" s="44">
        <f>ROUND((((X667*E662)/1800)),4)</f>
        <v>0.12039999999999999</v>
      </c>
      <c r="AF667" s="44">
        <f>ROUND(((Z667+AA667+AB667)),4)</f>
        <v>1.6341000000000001</v>
      </c>
    </row>
    <row r="668" spans="1:34" ht="12.95" customHeight="1" x14ac:dyDescent="0.25">
      <c r="A668" s="52"/>
      <c r="B668" s="67" t="s">
        <v>223</v>
      </c>
      <c r="C668" s="46">
        <v>1</v>
      </c>
      <c r="D668" s="45" t="s">
        <v>225</v>
      </c>
      <c r="E668" s="45">
        <v>1</v>
      </c>
      <c r="F668" s="45">
        <v>3</v>
      </c>
      <c r="G668" s="45">
        <v>6</v>
      </c>
      <c r="H668" s="45">
        <v>60</v>
      </c>
      <c r="I668" s="45">
        <f>(8-1-0.75*2)*60*F668-K668-8*0.12*60</f>
        <v>288.89999999999998</v>
      </c>
      <c r="J668" s="45">
        <v>14</v>
      </c>
      <c r="K668" s="45">
        <f>(8-1-0.75*2)*0.65*60*F668</f>
        <v>643.5</v>
      </c>
      <c r="L668" s="48">
        <v>0.47</v>
      </c>
      <c r="M668" s="48">
        <v>0.47</v>
      </c>
      <c r="N668" s="45">
        <v>10</v>
      </c>
      <c r="O668" s="45">
        <f>E668/F668</f>
        <v>0.33333333333333331</v>
      </c>
      <c r="P668" s="45">
        <v>120</v>
      </c>
      <c r="Q668" s="45">
        <v>30</v>
      </c>
      <c r="R668" s="47">
        <v>0</v>
      </c>
      <c r="S668" s="47">
        <v>0.09</v>
      </c>
      <c r="T668" s="48">
        <f>ROUND((L668*I668+1.3*L668*K668+S668*H668),4)</f>
        <v>534.36149999999998</v>
      </c>
      <c r="U668" s="48">
        <f>ROUND((M668*I668+1.3*M668*K668+S668*H668),4)</f>
        <v>534.36149999999998</v>
      </c>
      <c r="V668" s="48">
        <f>ROUND((M668*I668+1.3*M668*K668+S668*H668),4)</f>
        <v>534.36149999999998</v>
      </c>
      <c r="W668" s="48">
        <f>ROUND((L668*J668+1.3*L668*N668+S668*G668),4)</f>
        <v>13.23</v>
      </c>
      <c r="X668" s="48">
        <f>ROUND((M668*J668+1.3*M668*N668+S668*G668),4)</f>
        <v>13.23</v>
      </c>
      <c r="Y668" s="48">
        <f>ROUND((M668*J668+1.3*M668*N668+S668*G668),4)</f>
        <v>13.23</v>
      </c>
      <c r="Z668" s="49">
        <f>ROUND((P668*T668*F668*O668/1000000),4)</f>
        <v>6.4100000000000004E-2</v>
      </c>
      <c r="AA668" s="49">
        <f>ROUND((Q668*U668*F668*O668/1000000),4)</f>
        <v>1.6E-2</v>
      </c>
      <c r="AB668" s="49">
        <f>ROUND((R668*V668*F668*O668/1000000),4)</f>
        <v>0</v>
      </c>
      <c r="AC668" s="50" t="s">
        <v>200</v>
      </c>
      <c r="AD668" s="51" t="s">
        <v>153</v>
      </c>
      <c r="AE668" s="44">
        <f>ROUND((((X668*E668)/1800)*0.8),4)</f>
        <v>5.8999999999999999E-3</v>
      </c>
      <c r="AF668" s="44">
        <f>ROUND(((Z668+AA668+AB668)*0.8),4)</f>
        <v>6.4100000000000004E-2</v>
      </c>
      <c r="AG668" s="88"/>
      <c r="AH668" s="88"/>
    </row>
    <row r="669" spans="1:34" ht="12.95" customHeight="1" x14ac:dyDescent="0.25">
      <c r="A669" s="52"/>
      <c r="B669" s="53" t="s">
        <v>224</v>
      </c>
      <c r="C669" s="52"/>
      <c r="D669" s="52"/>
      <c r="E669" s="52"/>
      <c r="F669" s="63"/>
      <c r="G669" s="52"/>
      <c r="H669" s="52"/>
      <c r="I669" s="52"/>
      <c r="J669" s="52"/>
      <c r="K669" s="52"/>
      <c r="L669" s="56"/>
      <c r="M669" s="56"/>
      <c r="N669" s="52"/>
      <c r="O669" s="52"/>
      <c r="P669" s="52"/>
      <c r="Q669" s="52"/>
      <c r="R669" s="52"/>
      <c r="S669" s="57"/>
      <c r="T669" s="54"/>
      <c r="U669" s="54"/>
      <c r="V669" s="54"/>
      <c r="W669" s="54"/>
      <c r="X669" s="54"/>
      <c r="Y669" s="54"/>
      <c r="Z669" s="54"/>
      <c r="AA669" s="54"/>
      <c r="AB669" s="54"/>
      <c r="AC669" s="50" t="s">
        <v>201</v>
      </c>
      <c r="AD669" s="51" t="s">
        <v>202</v>
      </c>
      <c r="AE669" s="44">
        <f>ROUND((((X668*E668)/1800)*0.13),4)</f>
        <v>1E-3</v>
      </c>
      <c r="AF669" s="44">
        <f>ROUND(((Z668+AA668+AB668)*0.13),4)</f>
        <v>1.04E-2</v>
      </c>
      <c r="AG669" s="88"/>
      <c r="AH669" s="88"/>
    </row>
    <row r="670" spans="1:34" ht="12.95" customHeight="1" x14ac:dyDescent="0.25">
      <c r="A670" s="52"/>
      <c r="B670" s="88"/>
      <c r="C670" s="55"/>
      <c r="D670" s="55"/>
      <c r="E670" s="52"/>
      <c r="F670" s="63"/>
      <c r="G670" s="52"/>
      <c r="H670" s="52"/>
      <c r="I670" s="52"/>
      <c r="J670" s="52"/>
      <c r="K670" s="52"/>
      <c r="L670" s="59">
        <v>0.8</v>
      </c>
      <c r="M670" s="59">
        <v>0.98</v>
      </c>
      <c r="N670" s="52"/>
      <c r="O670" s="52"/>
      <c r="P670" s="52"/>
      <c r="Q670" s="52"/>
      <c r="R670" s="52"/>
      <c r="S670" s="60">
        <v>1.7999999999999999E-2</v>
      </c>
      <c r="T670" s="48">
        <f>ROUND((L670*I668+1.3*L670*K668+S670*H668),4)</f>
        <v>901.44</v>
      </c>
      <c r="U670" s="48">
        <f>ROUND((M670*0.9*I668+1.3*M670*0.9*K668+S670*H668),4)</f>
        <v>993.7269</v>
      </c>
      <c r="V670" s="48">
        <f>ROUND((M670*I668+1.3*M670*K668+S670*H668),4)</f>
        <v>1104.021</v>
      </c>
      <c r="W670" s="48">
        <f>ROUND((L670*J668+1.3*L670*N668+S670*G668),4)</f>
        <v>21.707999999999998</v>
      </c>
      <c r="X670" s="48">
        <f>ROUND((M670*0.9*J668+1.3*M670*0.9*N668+S670*G668),4)</f>
        <v>23.922000000000001</v>
      </c>
      <c r="Y670" s="48">
        <f>ROUND((M670*J668+1.3*M670*N668+S670*G668),4)</f>
        <v>26.568000000000001</v>
      </c>
      <c r="Z670" s="49">
        <f>ROUND((P668*T670*F668*O668/1000000),4)</f>
        <v>0.1082</v>
      </c>
      <c r="AA670" s="49">
        <f>ROUND((Q668*U670*F668*O668/1000000),4)</f>
        <v>2.98E-2</v>
      </c>
      <c r="AB670" s="49">
        <f>ROUND((R668*V670*F668*O668/1000000),4)</f>
        <v>0</v>
      </c>
      <c r="AC670" s="50" t="s">
        <v>203</v>
      </c>
      <c r="AD670" s="51" t="s">
        <v>204</v>
      </c>
      <c r="AE670" s="44">
        <f>ROUND((((X670*E668)/1800)),4)</f>
        <v>1.3299999999999999E-2</v>
      </c>
      <c r="AF670" s="44">
        <f>ROUND(((Z670+AA670+AB670)),5)</f>
        <v>0.13800000000000001</v>
      </c>
      <c r="AG670" s="88"/>
      <c r="AH670" s="88"/>
    </row>
    <row r="671" spans="1:34" ht="12.95" customHeight="1" x14ac:dyDescent="0.25">
      <c r="A671" s="52"/>
      <c r="B671" s="88"/>
      <c r="C671" s="52"/>
      <c r="D671" s="52"/>
      <c r="E671" s="52"/>
      <c r="F671" s="63"/>
      <c r="G671" s="52"/>
      <c r="H671" s="52"/>
      <c r="I671" s="52"/>
      <c r="J671" s="52"/>
      <c r="K671" s="52"/>
      <c r="L671" s="59">
        <v>0.08</v>
      </c>
      <c r="M671" s="59">
        <v>0.1</v>
      </c>
      <c r="N671" s="52"/>
      <c r="O671" s="52"/>
      <c r="P671" s="52"/>
      <c r="Q671" s="52"/>
      <c r="R671" s="52"/>
      <c r="S671" s="61">
        <v>0.06</v>
      </c>
      <c r="T671" s="48">
        <f>ROUND((L671*I668+1.3*L671*K668+S671*H668),4)</f>
        <v>93.635999999999996</v>
      </c>
      <c r="U671" s="48">
        <f>ROUND((M671*0.9*I668+1.3*M671*0.9*K668+S671*H668),4)</f>
        <v>104.8905</v>
      </c>
      <c r="V671" s="48">
        <f>ROUND((M671*I668+1.3*M671*K668+S671*H668),4)</f>
        <v>116.145</v>
      </c>
      <c r="W671" s="48">
        <f>ROUND((L671*J668+1.3*L671*N668+S671*G668),4)</f>
        <v>2.52</v>
      </c>
      <c r="X671" s="48">
        <f>ROUND((M671*0.9*J668+1.3*M671*0.9*N668+S671*G668),4)</f>
        <v>2.79</v>
      </c>
      <c r="Y671" s="48">
        <f>ROUND((M671*J668+1.3*N668+S671*G668),4)</f>
        <v>14.76</v>
      </c>
      <c r="Z671" s="49">
        <f>ROUND((P668*T671*F668*O668/1000000),4)</f>
        <v>1.12E-2</v>
      </c>
      <c r="AA671" s="49">
        <f>ROUND((Q668*U671*F668*O668/1000000),4)</f>
        <v>3.0999999999999999E-3</v>
      </c>
      <c r="AB671" s="49">
        <f>ROUND((R668*V671*F668*O668/1000000),4)</f>
        <v>0</v>
      </c>
      <c r="AC671" s="50" t="s">
        <v>205</v>
      </c>
      <c r="AD671" s="51" t="s">
        <v>206</v>
      </c>
      <c r="AE671" s="44">
        <f>ROUND((((X671*E668)/1800)),4)</f>
        <v>1.6000000000000001E-3</v>
      </c>
      <c r="AF671" s="44">
        <f>ROUND(((Z671+AA671+AB671)),4)</f>
        <v>1.43E-2</v>
      </c>
      <c r="AG671" s="88"/>
      <c r="AH671" s="88"/>
    </row>
    <row r="672" spans="1:34" ht="12.95" customHeight="1" x14ac:dyDescent="0.25">
      <c r="A672" s="52"/>
      <c r="B672" s="53"/>
      <c r="C672" s="52"/>
      <c r="D672" s="52"/>
      <c r="E672" s="52"/>
      <c r="F672" s="63"/>
      <c r="G672" s="52"/>
      <c r="H672" s="52"/>
      <c r="I672" s="52"/>
      <c r="J672" s="52"/>
      <c r="K672" s="52"/>
      <c r="L672" s="59">
        <v>0.05</v>
      </c>
      <c r="M672" s="59">
        <v>7.0000000000000007E-2</v>
      </c>
      <c r="N672" s="52"/>
      <c r="O672" s="52"/>
      <c r="P672" s="52"/>
      <c r="Q672" s="52"/>
      <c r="R672" s="52"/>
      <c r="S672" s="61">
        <v>0.01</v>
      </c>
      <c r="T672" s="48">
        <f>ROUND((L672*I668+1.3*L672*K668+S672*H668),4)</f>
        <v>56.872500000000002</v>
      </c>
      <c r="U672" s="48">
        <f>ROUND((M672*0.9*I668+1.3*M672*0.9*K668+S672*H668),4)</f>
        <v>71.503399999999999</v>
      </c>
      <c r="V672" s="48">
        <f>ROUND((M672*I668+1.3*M672*K668+S672*H668),4)</f>
        <v>79.381500000000003</v>
      </c>
      <c r="W672" s="48">
        <f>ROUND((L672*J668+1.3*L672*N668+S672*G668),4)</f>
        <v>1.41</v>
      </c>
      <c r="X672" s="48">
        <f>ROUND((M672*0.9*J668+1.3*M672*0.9*N668+S672*G668),4)</f>
        <v>1.7609999999999999</v>
      </c>
      <c r="Y672" s="48">
        <f>ROUND((M672*J668+1.3*M672*N668+S672*G668),4)</f>
        <v>1.95</v>
      </c>
      <c r="Z672" s="49">
        <f>ROUND((P668*T672*F668*O668/1000000),4)</f>
        <v>6.7999999999999996E-3</v>
      </c>
      <c r="AA672" s="49">
        <f>ROUND((Q668*U672*F668*O668/1000000),4)</f>
        <v>2.0999999999999999E-3</v>
      </c>
      <c r="AB672" s="49">
        <f>ROUND((R668*V672*F668*O668/1000000),4)</f>
        <v>0</v>
      </c>
      <c r="AC672" s="50" t="s">
        <v>250</v>
      </c>
      <c r="AD672" s="51" t="s">
        <v>208</v>
      </c>
      <c r="AE672" s="44">
        <f>ROUND((((X672*E668)/1800)),4)</f>
        <v>1E-3</v>
      </c>
      <c r="AF672" s="44">
        <f>ROUND(((Z672+AA672+AB672)),4)</f>
        <v>8.8999999999999999E-3</v>
      </c>
      <c r="AG672" s="88"/>
      <c r="AH672" s="88"/>
    </row>
    <row r="673" spans="1:34" ht="12.95" customHeight="1" x14ac:dyDescent="0.25">
      <c r="A673" s="52"/>
      <c r="B673" s="62"/>
      <c r="C673" s="56"/>
      <c r="D673" s="56"/>
      <c r="E673" s="56"/>
      <c r="F673" s="66"/>
      <c r="G673" s="56"/>
      <c r="H673" s="56"/>
      <c r="I673" s="56"/>
      <c r="J673" s="56"/>
      <c r="K673" s="56"/>
      <c r="L673" s="59">
        <v>3.5999999999999997E-2</v>
      </c>
      <c r="M673" s="59">
        <v>4.3999999999999997E-2</v>
      </c>
      <c r="N673" s="56"/>
      <c r="O673" s="56"/>
      <c r="P673" s="56"/>
      <c r="Q673" s="56"/>
      <c r="R673" s="56"/>
      <c r="S673" s="61">
        <v>0.45</v>
      </c>
      <c r="T673" s="48">
        <f>ROUND((L673*I668+1.3*L673*K668+S673*H668),4)</f>
        <v>67.516199999999998</v>
      </c>
      <c r="U673" s="48">
        <f>ROUND((M673*0.9*I668+1.3*M673*0.9*K668+S673*H668),4)</f>
        <v>71.567800000000005</v>
      </c>
      <c r="V673" s="48">
        <f>ROUND((M673*I668+1.3*M673*K668+S673*H668),4)</f>
        <v>76.519800000000004</v>
      </c>
      <c r="W673" s="48">
        <f>ROUND((L673*J668+1.3*L673*N668+S673*G668),4)</f>
        <v>3.6720000000000002</v>
      </c>
      <c r="X673" s="48">
        <f>ROUND((M673*0.9*J668+1.3*M673*0.9*N668+S673*G668),4)</f>
        <v>3.7692000000000001</v>
      </c>
      <c r="Y673" s="48">
        <f>ROUND((M673*J668+1.3*M673*N668+S673*G668),4)</f>
        <v>3.8879999999999999</v>
      </c>
      <c r="Z673" s="49">
        <f>ROUND((P668*T673*F668*O668/1000000),4)</f>
        <v>8.0999999999999996E-3</v>
      </c>
      <c r="AA673" s="49">
        <f>ROUND((Q668*U673*F668*O668/1000000),4)</f>
        <v>2.0999999999999999E-3</v>
      </c>
      <c r="AB673" s="49">
        <f>ROUND((R668*V673*F668*O668/1000000),4)</f>
        <v>0</v>
      </c>
      <c r="AC673" s="50" t="s">
        <v>170</v>
      </c>
      <c r="AD673" s="51" t="s">
        <v>162</v>
      </c>
      <c r="AE673" s="44">
        <f>ROUND((((X673*E668)/1800)),4)</f>
        <v>2.0999999999999999E-3</v>
      </c>
      <c r="AF673" s="44">
        <f>ROUND(((Z673+AA673+AB673)),4)</f>
        <v>1.0200000000000001E-2</v>
      </c>
      <c r="AG673" s="88"/>
      <c r="AH673" s="88"/>
    </row>
    <row r="674" spans="1:34" ht="12.95" customHeight="1" x14ac:dyDescent="0.25">
      <c r="A674" s="89"/>
      <c r="B674" s="46" t="s">
        <v>234</v>
      </c>
      <c r="C674" s="46">
        <v>6</v>
      </c>
      <c r="D674" s="45" t="s">
        <v>210</v>
      </c>
      <c r="E674" s="45">
        <v>1</v>
      </c>
      <c r="F674" s="45">
        <v>1</v>
      </c>
      <c r="G674" s="45">
        <v>6</v>
      </c>
      <c r="H674" s="45">
        <v>60</v>
      </c>
      <c r="I674" s="45">
        <f>(8-1-0.75*2)*60*F674-K674-8*0.12*60</f>
        <v>57.900000000000006</v>
      </c>
      <c r="J674" s="45">
        <v>14</v>
      </c>
      <c r="K674" s="45">
        <f>(8-1-0.75*2)*0.65*60*F674</f>
        <v>214.5</v>
      </c>
      <c r="L674" s="48">
        <v>6.47</v>
      </c>
      <c r="M674" s="48">
        <v>6.47</v>
      </c>
      <c r="N674" s="45">
        <v>10</v>
      </c>
      <c r="O674" s="45">
        <f>E674/F674</f>
        <v>1</v>
      </c>
      <c r="P674" s="45">
        <v>30</v>
      </c>
      <c r="Q674" s="45">
        <v>0</v>
      </c>
      <c r="R674" s="47">
        <v>0</v>
      </c>
      <c r="S674" s="47">
        <v>1.27</v>
      </c>
      <c r="T674" s="48">
        <f>ROUND((L674*I674+1.3*L674*K674+S674*H674),4)</f>
        <v>2254.9724999999999</v>
      </c>
      <c r="U674" s="48">
        <f>ROUND((M674*I674+1.3*M674*K674+S674*H674),4)</f>
        <v>2254.9724999999999</v>
      </c>
      <c r="V674" s="48">
        <f>ROUND((M674*I674+1.3*M674*K674+S674*H674),4)</f>
        <v>2254.9724999999999</v>
      </c>
      <c r="W674" s="48">
        <f>ROUND((L674*J674+1.3*L674*N674+S674*G674),4)</f>
        <v>182.31</v>
      </c>
      <c r="X674" s="48">
        <f>ROUND((M674*J674+1.3*M674*N674+S674*G674),4)</f>
        <v>182.31</v>
      </c>
      <c r="Y674" s="48">
        <f>ROUND((M674*J674+1.3*M674*N674+S674*G674),4)</f>
        <v>182.31</v>
      </c>
      <c r="Z674" s="49">
        <f>ROUND((P674*T674*F674*O674/1000000),4)</f>
        <v>6.7599999999999993E-2</v>
      </c>
      <c r="AA674" s="49">
        <f>ROUND((Q674*U674*F674*O674/1000000),4)</f>
        <v>0</v>
      </c>
      <c r="AB674" s="49">
        <f>ROUND((R674*V674*F674*O674/1000000),4)</f>
        <v>0</v>
      </c>
      <c r="AC674" s="50" t="s">
        <v>200</v>
      </c>
      <c r="AD674" s="51" t="s">
        <v>153</v>
      </c>
      <c r="AE674" s="44">
        <f>ROUND((((X674*E674)/1800)*0.8),4)</f>
        <v>8.1000000000000003E-2</v>
      </c>
      <c r="AF674" s="44">
        <f>ROUND(((Z674+AA674+AB674)*0.8),4)</f>
        <v>5.4100000000000002E-2</v>
      </c>
      <c r="AG674" s="88"/>
      <c r="AH674" s="88"/>
    </row>
    <row r="675" spans="1:34" ht="12.95" customHeight="1" x14ac:dyDescent="0.25">
      <c r="A675" s="89"/>
      <c r="B675" s="53" t="s">
        <v>235</v>
      </c>
      <c r="C675" s="52"/>
      <c r="D675" s="52"/>
      <c r="E675" s="52"/>
      <c r="F675" s="63"/>
      <c r="G675" s="52"/>
      <c r="H675" s="52"/>
      <c r="I675" s="52"/>
      <c r="J675" s="52"/>
      <c r="K675" s="52"/>
      <c r="L675" s="56"/>
      <c r="M675" s="56"/>
      <c r="N675" s="52"/>
      <c r="O675" s="52"/>
      <c r="P675" s="52"/>
      <c r="Q675" s="52"/>
      <c r="R675" s="52"/>
      <c r="S675" s="57"/>
      <c r="T675" s="54"/>
      <c r="U675" s="54"/>
      <c r="V675" s="54"/>
      <c r="W675" s="54"/>
      <c r="X675" s="54"/>
      <c r="Y675" s="54"/>
      <c r="Z675" s="54"/>
      <c r="AA675" s="54"/>
      <c r="AB675" s="54"/>
      <c r="AC675" s="50" t="s">
        <v>201</v>
      </c>
      <c r="AD675" s="51" t="s">
        <v>202</v>
      </c>
      <c r="AE675" s="44">
        <f>ROUND((((X674*E674)/1800)*0.13),4)</f>
        <v>1.32E-2</v>
      </c>
      <c r="AF675" s="44">
        <f>ROUND(((Z674+AA674+AB674)*0.13),4)</f>
        <v>8.8000000000000005E-3</v>
      </c>
      <c r="AG675" s="88"/>
      <c r="AH675" s="88"/>
    </row>
    <row r="676" spans="1:34" ht="12.95" customHeight="1" x14ac:dyDescent="0.25">
      <c r="A676" s="89"/>
      <c r="B676" s="67"/>
      <c r="C676" s="55"/>
      <c r="D676" s="55"/>
      <c r="E676" s="52"/>
      <c r="F676" s="63"/>
      <c r="G676" s="52"/>
      <c r="H676" s="52"/>
      <c r="I676" s="52"/>
      <c r="J676" s="52"/>
      <c r="K676" s="52"/>
      <c r="L676" s="59">
        <v>0.51</v>
      </c>
      <c r="M676" s="59">
        <v>0.63</v>
      </c>
      <c r="N676" s="52"/>
      <c r="O676" s="52"/>
      <c r="P676" s="52"/>
      <c r="Q676" s="52"/>
      <c r="R676" s="52"/>
      <c r="S676" s="60">
        <v>0.25</v>
      </c>
      <c r="T676" s="48">
        <f>ROUND((L676*I674+1.3*L676*K674+S676*H674),4)</f>
        <v>186.74250000000001</v>
      </c>
      <c r="U676" s="48">
        <f>ROUND((M676*0.9*I674+1.3*M676*0.9*K674+S676*H674),4)</f>
        <v>205.93729999999999</v>
      </c>
      <c r="V676" s="48">
        <f>ROUND((M676*I674+1.3*M676*K674+S676*H674),4)</f>
        <v>227.1525</v>
      </c>
      <c r="W676" s="48">
        <f>ROUND((L676*J674+1.3*L676*N674+S676*G674),4)</f>
        <v>15.27</v>
      </c>
      <c r="X676" s="48">
        <f>ROUND((M676*0.9*J674+1.3*M676*0.9*N674+S676*G674),4)</f>
        <v>16.809000000000001</v>
      </c>
      <c r="Y676" s="48">
        <f>ROUND((M676*J674+1.3*M676*N674+S676*G674),4)</f>
        <v>18.510000000000002</v>
      </c>
      <c r="Z676" s="49">
        <f>ROUND((P674*T676*F674*O674/1000000),4)</f>
        <v>5.5999999999999999E-3</v>
      </c>
      <c r="AA676" s="49">
        <f>ROUND((Q674*U676*F674*O674/1000000),4)</f>
        <v>0</v>
      </c>
      <c r="AB676" s="49">
        <f>ROUND((R674*V676*F674*O674/1000000),4)</f>
        <v>0</v>
      </c>
      <c r="AC676" s="50" t="s">
        <v>203</v>
      </c>
      <c r="AD676" s="51" t="s">
        <v>204</v>
      </c>
      <c r="AE676" s="44">
        <f>ROUND((((X676*E674)/1800)),4)</f>
        <v>9.2999999999999992E-3</v>
      </c>
      <c r="AF676" s="44">
        <f>ROUND(((Z676+AA676+AB676)),5)</f>
        <v>5.5999999999999999E-3</v>
      </c>
      <c r="AG676" s="88"/>
      <c r="AH676" s="88"/>
    </row>
    <row r="677" spans="1:34" ht="12.95" customHeight="1" x14ac:dyDescent="0.25">
      <c r="A677" s="89"/>
      <c r="B677" s="53"/>
      <c r="C677" s="52"/>
      <c r="D677" s="52"/>
      <c r="E677" s="52"/>
      <c r="F677" s="63"/>
      <c r="G677" s="52"/>
      <c r="H677" s="52"/>
      <c r="I677" s="52"/>
      <c r="J677" s="52"/>
      <c r="K677" s="52"/>
      <c r="L677" s="59">
        <v>1.1399999999999999</v>
      </c>
      <c r="M677" s="59">
        <v>1.37</v>
      </c>
      <c r="N677" s="52"/>
      <c r="O677" s="52"/>
      <c r="P677" s="52"/>
      <c r="Q677" s="52"/>
      <c r="R677" s="52"/>
      <c r="S677" s="61">
        <v>0.79</v>
      </c>
      <c r="T677" s="48">
        <f>ROUND((L677*I674+1.3*L677*K674+S677*H674),4)</f>
        <v>431.29500000000002</v>
      </c>
      <c r="U677" s="48">
        <f>ROUND((M677*0.9*I674+1.3*M677*0.9*K674+S677*H674),4)</f>
        <v>462.61279999999999</v>
      </c>
      <c r="V677" s="48">
        <f>ROUND((M677*I674+1.3*M677*K674+S677*H674),4)</f>
        <v>508.7475</v>
      </c>
      <c r="W677" s="48">
        <f>ROUND((L677*J674+1.3*L677*N674+S677*G674),4)</f>
        <v>35.520000000000003</v>
      </c>
      <c r="X677" s="48">
        <f>ROUND((M677*0.9*J674+1.3*M677*0.9*N674+S677*G674),4)</f>
        <v>38.030999999999999</v>
      </c>
      <c r="Y677" s="48">
        <f>ROUND((M677*J674+1.3*N674+S677*G674),4)</f>
        <v>36.92</v>
      </c>
      <c r="Z677" s="49">
        <f>ROUND((P674*T677*F674*O674/1000000),4)</f>
        <v>1.29E-2</v>
      </c>
      <c r="AA677" s="49">
        <f>ROUND((Q674*U677*F674*O674/1000000),4)</f>
        <v>0</v>
      </c>
      <c r="AB677" s="49">
        <f>ROUND((R674*V677*F674*O674/1000000),4)</f>
        <v>0</v>
      </c>
      <c r="AC677" s="50" t="s">
        <v>205</v>
      </c>
      <c r="AD677" s="51" t="s">
        <v>206</v>
      </c>
      <c r="AE677" s="44">
        <f>ROUND((((X677*E674)/1800)),4)</f>
        <v>2.1100000000000001E-2</v>
      </c>
      <c r="AF677" s="44">
        <f>ROUND(((Z677+AA677+AB677)),4)</f>
        <v>1.29E-2</v>
      </c>
      <c r="AG677" s="88"/>
      <c r="AH677" s="88"/>
    </row>
    <row r="678" spans="1:34" ht="12.95" customHeight="1" x14ac:dyDescent="0.25">
      <c r="A678" s="89"/>
      <c r="B678" s="53"/>
      <c r="C678" s="52"/>
      <c r="D678" s="52"/>
      <c r="E678" s="52"/>
      <c r="F678" s="63"/>
      <c r="G678" s="52"/>
      <c r="H678" s="52"/>
      <c r="I678" s="52"/>
      <c r="J678" s="52"/>
      <c r="K678" s="52"/>
      <c r="L678" s="59">
        <v>0.72</v>
      </c>
      <c r="M678" s="59">
        <v>1.08</v>
      </c>
      <c r="N678" s="52"/>
      <c r="O678" s="52"/>
      <c r="P678" s="52"/>
      <c r="Q678" s="52"/>
      <c r="R678" s="52"/>
      <c r="S678" s="61">
        <v>0.17</v>
      </c>
      <c r="T678" s="48">
        <f>ROUND((L678*I674+1.3*L678*K674+S678*H674),4)</f>
        <v>252.66</v>
      </c>
      <c r="U678" s="48">
        <f>ROUND((M678*0.9*I674+1.3*M678*0.9*K674+S678*H674),4)</f>
        <v>337.52100000000002</v>
      </c>
      <c r="V678" s="48">
        <f>ROUND((M678*I674+1.3*M678*K674+S678*H674),4)</f>
        <v>373.89</v>
      </c>
      <c r="W678" s="48">
        <f>ROUND((L678*J674+1.3*L678*N674+S678*G674),4)</f>
        <v>20.46</v>
      </c>
      <c r="X678" s="48">
        <f>ROUND((M678*0.9*J674+1.3*M678*0.9*N674+S678*G674),4)</f>
        <v>27.263999999999999</v>
      </c>
      <c r="Y678" s="48">
        <f>ROUND((M678*J674+1.3*M678*N674+S678*G674),4)</f>
        <v>30.18</v>
      </c>
      <c r="Z678" s="49">
        <f>ROUND((P674*T678*F674*O674/1000000),4)</f>
        <v>7.6E-3</v>
      </c>
      <c r="AA678" s="49">
        <f>ROUND((Q674*U678*F674*O674/1000000),4)</f>
        <v>0</v>
      </c>
      <c r="AB678" s="49">
        <f>ROUND((R674*V678*F674*O674/1000000),4)</f>
        <v>0</v>
      </c>
      <c r="AC678" s="50" t="s">
        <v>250</v>
      </c>
      <c r="AD678" s="51" t="s">
        <v>208</v>
      </c>
      <c r="AE678" s="44">
        <f>ROUND((((X678*E674)/1800)),4)</f>
        <v>1.5100000000000001E-2</v>
      </c>
      <c r="AF678" s="44">
        <f>ROUND(((Z678+AA678+AB678)),4)</f>
        <v>7.6E-3</v>
      </c>
      <c r="AG678" s="88"/>
      <c r="AH678" s="88"/>
    </row>
    <row r="679" spans="1:34" ht="12.95" customHeight="1" x14ac:dyDescent="0.25">
      <c r="A679" s="89"/>
      <c r="B679" s="62"/>
      <c r="C679" s="56"/>
      <c r="D679" s="56"/>
      <c r="E679" s="56"/>
      <c r="F679" s="66"/>
      <c r="G679" s="56"/>
      <c r="H679" s="56"/>
      <c r="I679" s="56"/>
      <c r="J679" s="56"/>
      <c r="K679" s="56"/>
      <c r="L679" s="59">
        <v>3.37</v>
      </c>
      <c r="M679" s="59">
        <v>4.1100000000000003</v>
      </c>
      <c r="N679" s="56"/>
      <c r="O679" s="56"/>
      <c r="P679" s="56"/>
      <c r="Q679" s="56"/>
      <c r="R679" s="56"/>
      <c r="S679" s="61">
        <v>6.31</v>
      </c>
      <c r="T679" s="48">
        <f>ROUND((L679*I674+1.3*L679*K674+S679*H674),4)</f>
        <v>1513.4475</v>
      </c>
      <c r="U679" s="48">
        <f>ROUND((M679*0.9*I674+1.3*M679*0.9*K674+S679*H674),4)</f>
        <v>1624.2383</v>
      </c>
      <c r="V679" s="48">
        <f>ROUND((M679*I674+1.3*M679*K674+S679*H674),4)</f>
        <v>1762.6424999999999</v>
      </c>
      <c r="W679" s="48">
        <f>ROUND((L679*J674+1.3*L679*N674+S679*G674),4)</f>
        <v>128.85</v>
      </c>
      <c r="X679" s="48">
        <f>ROUND((M679*0.9*J674+1.3*M679*0.9*N674+S679*G674),4)</f>
        <v>137.733</v>
      </c>
      <c r="Y679" s="48">
        <f>ROUND((M679*J674+1.3*M679*N674+S679*G674),4)</f>
        <v>148.83000000000001</v>
      </c>
      <c r="Z679" s="49">
        <f>ROUND((P674*T679*F674*O674/1000000),4)</f>
        <v>4.5400000000000003E-2</v>
      </c>
      <c r="AA679" s="49">
        <f>ROUND((Q674*U679*F674*O674/1000000),4)</f>
        <v>0</v>
      </c>
      <c r="AB679" s="49">
        <f>ROUND((R674*V679*F674*O674/1000000),4)</f>
        <v>0</v>
      </c>
      <c r="AC679" s="50" t="s">
        <v>170</v>
      </c>
      <c r="AD679" s="51" t="s">
        <v>162</v>
      </c>
      <c r="AE679" s="44">
        <f>ROUND((((X679*E674)/1800)),4)</f>
        <v>7.6499999999999999E-2</v>
      </c>
      <c r="AF679" s="44">
        <f>ROUND(((Z679+AA679+AB679)),4)</f>
        <v>4.5400000000000003E-2</v>
      </c>
      <c r="AG679" s="88"/>
      <c r="AH679" s="88"/>
    </row>
    <row r="680" spans="1:34" ht="12.95" customHeight="1" x14ac:dyDescent="0.25">
      <c r="A680" s="52"/>
      <c r="B680" s="67" t="s">
        <v>220</v>
      </c>
      <c r="C680" s="46">
        <v>7</v>
      </c>
      <c r="D680" s="45" t="s">
        <v>217</v>
      </c>
      <c r="E680" s="45">
        <v>1</v>
      </c>
      <c r="F680" s="45">
        <v>1</v>
      </c>
      <c r="G680" s="45">
        <v>6</v>
      </c>
      <c r="H680" s="45">
        <v>60</v>
      </c>
      <c r="I680" s="45">
        <f>(8-1-0.75*2)*60*F680-K680-8*0.12*60</f>
        <v>57.900000000000006</v>
      </c>
      <c r="J680" s="45">
        <v>14</v>
      </c>
      <c r="K680" s="45">
        <f>(8-1-0.75*2)*0.65*60*F680</f>
        <v>214.5</v>
      </c>
      <c r="L680" s="48">
        <v>10.16</v>
      </c>
      <c r="M680" s="48">
        <v>10.16</v>
      </c>
      <c r="N680" s="45">
        <v>10</v>
      </c>
      <c r="O680" s="45">
        <f>E680/F680</f>
        <v>1</v>
      </c>
      <c r="P680" s="45">
        <v>15</v>
      </c>
      <c r="Q680" s="45">
        <v>15</v>
      </c>
      <c r="R680" s="47">
        <v>0</v>
      </c>
      <c r="S680" s="47">
        <v>1.99</v>
      </c>
      <c r="T680" s="48">
        <f>ROUND((L680*I680+1.3*L680*K680+S680*H680),4)</f>
        <v>3540.78</v>
      </c>
      <c r="U680" s="48">
        <f>ROUND((M680*I680+1.3*M680*K680+S680*H680),4)</f>
        <v>3540.78</v>
      </c>
      <c r="V680" s="48">
        <f>ROUND((M680*I680+1.3*M680*K680+S680*H680),4)</f>
        <v>3540.78</v>
      </c>
      <c r="W680" s="48">
        <f>ROUND((L680*J680+1.3*L680*N680+S680*G680),4)</f>
        <v>286.26</v>
      </c>
      <c r="X680" s="48">
        <f>ROUND((M680*J680+1.3*M680*N680+S680*G680),4)</f>
        <v>286.26</v>
      </c>
      <c r="Y680" s="48">
        <f>ROUND((M680*J680+1.3*M680*N680+S680*G680),4)</f>
        <v>286.26</v>
      </c>
      <c r="Z680" s="49">
        <f>ROUND((P680*T680*F680*O680/1000000),4)</f>
        <v>5.3100000000000001E-2</v>
      </c>
      <c r="AA680" s="49">
        <f>ROUND((Q680*U680*F680*O680/1000000),4)</f>
        <v>5.3100000000000001E-2</v>
      </c>
      <c r="AB680" s="49">
        <f>ROUND((R680*V680*F680*O680/1000000),4)</f>
        <v>0</v>
      </c>
      <c r="AC680" s="50" t="s">
        <v>200</v>
      </c>
      <c r="AD680" s="51" t="s">
        <v>153</v>
      </c>
      <c r="AE680" s="44">
        <f>ROUND((((X680*E680)/1800)*0.8),4)</f>
        <v>0.12720000000000001</v>
      </c>
      <c r="AF680" s="44">
        <f>ROUND(((Z680+AA680+AB680)*0.8),4)</f>
        <v>8.5000000000000006E-2</v>
      </c>
    </row>
    <row r="681" spans="1:34" ht="12.95" customHeight="1" x14ac:dyDescent="0.25">
      <c r="A681" s="52"/>
      <c r="B681" s="53" t="s">
        <v>221</v>
      </c>
      <c r="C681" s="52"/>
      <c r="D681" s="52"/>
      <c r="E681" s="52"/>
      <c r="F681" s="63"/>
      <c r="G681" s="52"/>
      <c r="H681" s="52"/>
      <c r="I681" s="52"/>
      <c r="J681" s="52"/>
      <c r="K681" s="52"/>
      <c r="L681" s="56"/>
      <c r="M681" s="56"/>
      <c r="N681" s="52"/>
      <c r="O681" s="52"/>
      <c r="P681" s="52"/>
      <c r="Q681" s="52"/>
      <c r="R681" s="52"/>
      <c r="S681" s="57"/>
      <c r="T681" s="54"/>
      <c r="U681" s="54"/>
      <c r="V681" s="54"/>
      <c r="W681" s="54"/>
      <c r="X681" s="54"/>
      <c r="Y681" s="54"/>
      <c r="Z681" s="54"/>
      <c r="AA681" s="54"/>
      <c r="AB681" s="54"/>
      <c r="AC681" s="50" t="s">
        <v>201</v>
      </c>
      <c r="AD681" s="51" t="s">
        <v>202</v>
      </c>
      <c r="AE681" s="44">
        <f>ROUND((((X680*E680)/1800)*0.13),4)</f>
        <v>2.07E-2</v>
      </c>
      <c r="AF681" s="44">
        <f>ROUND(((Z680+AA680+AB680)*0.13),4)</f>
        <v>1.38E-2</v>
      </c>
    </row>
    <row r="682" spans="1:34" ht="12.95" customHeight="1" x14ac:dyDescent="0.25">
      <c r="A682" s="52"/>
      <c r="B682" s="88"/>
      <c r="C682" s="55"/>
      <c r="D682" s="55"/>
      <c r="E682" s="52"/>
      <c r="F682" s="63"/>
      <c r="G682" s="52"/>
      <c r="H682" s="52"/>
      <c r="I682" s="52"/>
      <c r="J682" s="52"/>
      <c r="K682" s="52"/>
      <c r="L682" s="59">
        <v>0.8</v>
      </c>
      <c r="M682" s="59">
        <v>0.98</v>
      </c>
      <c r="N682" s="52"/>
      <c r="O682" s="52"/>
      <c r="P682" s="52"/>
      <c r="Q682" s="52"/>
      <c r="R682" s="52"/>
      <c r="S682" s="60">
        <v>0.39</v>
      </c>
      <c r="T682" s="48">
        <f>ROUND((L682*I680+1.3*L682*K680+S682*H680),4)</f>
        <v>292.8</v>
      </c>
      <c r="U682" s="48">
        <f>ROUND((M682*0.9*I680+1.3*M682*0.9*K680+S682*H680),4)</f>
        <v>320.4135</v>
      </c>
      <c r="V682" s="48">
        <f>ROUND((M682*I680+1.3*M682*K680+S682*H680),4)</f>
        <v>353.41500000000002</v>
      </c>
      <c r="W682" s="48">
        <f>ROUND((L682*J680+1.3*L682*N680+S682*G680),4)</f>
        <v>23.94</v>
      </c>
      <c r="X682" s="48">
        <f>ROUND((M682*0.9*J680+1.3*M682*0.9*N680+S682*G680),4)</f>
        <v>26.154</v>
      </c>
      <c r="Y682" s="48">
        <f>ROUND((M682*J680+1.3*M682*N680+S682*G680),4)</f>
        <v>28.8</v>
      </c>
      <c r="Z682" s="49">
        <f>ROUND((P680*T682*F680*O680/1000000),4)</f>
        <v>4.4000000000000003E-3</v>
      </c>
      <c r="AA682" s="49">
        <f>ROUND((Q680*U682*F680*O680/1000000),4)</f>
        <v>4.7999999999999996E-3</v>
      </c>
      <c r="AB682" s="49">
        <f>ROUND((R680*V682*F680*O680/1000000),4)</f>
        <v>0</v>
      </c>
      <c r="AC682" s="50" t="s">
        <v>203</v>
      </c>
      <c r="AD682" s="51" t="s">
        <v>204</v>
      </c>
      <c r="AE682" s="44">
        <f>ROUND((((X682*E680)/1800)),4)</f>
        <v>1.4500000000000001E-2</v>
      </c>
      <c r="AF682" s="44">
        <f>ROUND(((Z682+AA682+AB682)),5)</f>
        <v>9.1999999999999998E-3</v>
      </c>
    </row>
    <row r="683" spans="1:34" ht="12.95" customHeight="1" x14ac:dyDescent="0.25">
      <c r="A683" s="52"/>
      <c r="B683" s="88"/>
      <c r="C683" s="52"/>
      <c r="D683" s="52"/>
      <c r="E683" s="52"/>
      <c r="F683" s="63"/>
      <c r="G683" s="52"/>
      <c r="H683" s="52"/>
      <c r="I683" s="52"/>
      <c r="J683" s="52"/>
      <c r="K683" s="52"/>
      <c r="L683" s="59">
        <v>1.79</v>
      </c>
      <c r="M683" s="59">
        <v>2.15</v>
      </c>
      <c r="N683" s="52"/>
      <c r="O683" s="52"/>
      <c r="P683" s="52"/>
      <c r="Q683" s="52"/>
      <c r="R683" s="52"/>
      <c r="S683" s="61">
        <v>1.24</v>
      </c>
      <c r="T683" s="48">
        <f>ROUND((L683*I680+1.3*L683*K680+S683*H680),4)</f>
        <v>677.1825</v>
      </c>
      <c r="U683" s="48">
        <f>ROUND((M683*0.9*I680+1.3*M683*0.9*K680+S683*H680),4)</f>
        <v>726.01130000000001</v>
      </c>
      <c r="V683" s="48">
        <f>ROUND((M683*I680+1.3*M683*K680+S683*H680),4)</f>
        <v>798.41250000000002</v>
      </c>
      <c r="W683" s="48">
        <f>ROUND((L683*J680+1.3*L683*N680+S683*G680),4)</f>
        <v>55.77</v>
      </c>
      <c r="X683" s="48">
        <f>ROUND((M683*0.9*J680+1.3*M683*0.9*N680+S683*G680),4)</f>
        <v>59.685000000000002</v>
      </c>
      <c r="Y683" s="48">
        <f>ROUND((M683*J680+1.3*N680+S683*G680),4)</f>
        <v>50.54</v>
      </c>
      <c r="Z683" s="49">
        <f>ROUND((P680*T683*F680*O680/1000000),4)</f>
        <v>1.0200000000000001E-2</v>
      </c>
      <c r="AA683" s="49">
        <f>ROUND((Q680*U683*F680*O680/1000000),4)</f>
        <v>1.09E-2</v>
      </c>
      <c r="AB683" s="49">
        <f>ROUND((R680*V683*F680*O680/1000000),4)</f>
        <v>0</v>
      </c>
      <c r="AC683" s="50" t="s">
        <v>205</v>
      </c>
      <c r="AD683" s="51" t="s">
        <v>206</v>
      </c>
      <c r="AE683" s="44">
        <f>ROUND((((X683*E680)/1800)),4)</f>
        <v>3.32E-2</v>
      </c>
      <c r="AF683" s="44">
        <f>ROUND(((Z683+AA683+AB683)),4)</f>
        <v>2.1100000000000001E-2</v>
      </c>
    </row>
    <row r="684" spans="1:34" ht="12.95" customHeight="1" x14ac:dyDescent="0.25">
      <c r="A684" s="52"/>
      <c r="B684" s="53"/>
      <c r="C684" s="52"/>
      <c r="D684" s="52"/>
      <c r="E684" s="52"/>
      <c r="F684" s="63"/>
      <c r="G684" s="52"/>
      <c r="H684" s="52"/>
      <c r="I684" s="52"/>
      <c r="J684" s="52"/>
      <c r="K684" s="52"/>
      <c r="L684" s="59">
        <v>1.1299999999999999</v>
      </c>
      <c r="M684" s="59">
        <v>1.7</v>
      </c>
      <c r="N684" s="52"/>
      <c r="O684" s="52"/>
      <c r="P684" s="52"/>
      <c r="Q684" s="52"/>
      <c r="R684" s="52"/>
      <c r="S684" s="61">
        <v>0.26</v>
      </c>
      <c r="T684" s="48">
        <f>ROUND((L684*I680+1.3*L684*K680+S684*H680),4)</f>
        <v>396.1275</v>
      </c>
      <c r="U684" s="48">
        <f>ROUND((M684*0.9*I680+1.3*M684*0.9*K680+S684*H680),4)</f>
        <v>530.82749999999999</v>
      </c>
      <c r="V684" s="48">
        <f>ROUND((M684*I680+1.3*M684*K680+S684*H680),4)</f>
        <v>588.07500000000005</v>
      </c>
      <c r="W684" s="48">
        <f>ROUND((L684*J680+1.3*L684*N680+S684*G680),4)</f>
        <v>32.07</v>
      </c>
      <c r="X684" s="48">
        <f>ROUND((M684*0.9*J680+1.3*M684*0.9*N680+S684*G680),4)</f>
        <v>42.87</v>
      </c>
      <c r="Y684" s="48">
        <f>ROUND((M684*J680+1.3*M684*N680+S684*G680),4)</f>
        <v>47.46</v>
      </c>
      <c r="Z684" s="49">
        <f>ROUND((P680*T684*F680*O680/1000000),4)</f>
        <v>5.8999999999999999E-3</v>
      </c>
      <c r="AA684" s="49">
        <f>ROUND((Q680*U684*F680*O680/1000000),4)</f>
        <v>8.0000000000000002E-3</v>
      </c>
      <c r="AB684" s="49">
        <f>ROUND((R680*V684*F680*O680/1000000),4)</f>
        <v>0</v>
      </c>
      <c r="AC684" s="50" t="s">
        <v>250</v>
      </c>
      <c r="AD684" s="51" t="s">
        <v>208</v>
      </c>
      <c r="AE684" s="44">
        <f>ROUND((((X684*E680)/1800)),4)</f>
        <v>2.3800000000000002E-2</v>
      </c>
      <c r="AF684" s="44">
        <f>ROUND(((Z684+AA684+AB684)),4)</f>
        <v>1.3899999999999999E-2</v>
      </c>
    </row>
    <row r="685" spans="1:34" ht="12.95" customHeight="1" x14ac:dyDescent="0.25">
      <c r="A685" s="52"/>
      <c r="B685" s="62"/>
      <c r="C685" s="56"/>
      <c r="D685" s="56"/>
      <c r="E685" s="56"/>
      <c r="F685" s="66"/>
      <c r="G685" s="56"/>
      <c r="H685" s="56"/>
      <c r="I685" s="56"/>
      <c r="J685" s="56"/>
      <c r="K685" s="56"/>
      <c r="L685" s="59">
        <v>5.3</v>
      </c>
      <c r="M685" s="59">
        <v>6.47</v>
      </c>
      <c r="N685" s="56"/>
      <c r="O685" s="56"/>
      <c r="P685" s="56"/>
      <c r="Q685" s="56"/>
      <c r="R685" s="56"/>
      <c r="S685" s="61">
        <v>9.92</v>
      </c>
      <c r="T685" s="48">
        <f>ROUND((L685*I680+1.3*L685*K680+S685*H680),4)</f>
        <v>2379.9749999999999</v>
      </c>
      <c r="U685" s="48">
        <f>ROUND((M685*0.9*I680+1.3*M685*0.9*K680+S685*H680),4)</f>
        <v>2556.0953</v>
      </c>
      <c r="V685" s="48">
        <f>ROUND((M685*I680+1.3*M685*K680+S685*H680),4)</f>
        <v>2773.9724999999999</v>
      </c>
      <c r="W685" s="48">
        <f>ROUND((L685*J680+1.3*L685*N680+S685*G680),4)</f>
        <v>202.62</v>
      </c>
      <c r="X685" s="48">
        <f>ROUND((M685*0.9*J680+1.3*M685*0.9*N680+S685*G680),4)</f>
        <v>216.74100000000001</v>
      </c>
      <c r="Y685" s="48">
        <f>ROUND((M685*J680+1.3*M685*N680+S685*G680),4)</f>
        <v>234.21</v>
      </c>
      <c r="Z685" s="49">
        <f>ROUND((P680*T685*F680*O680/1000000),4)</f>
        <v>3.5700000000000003E-2</v>
      </c>
      <c r="AA685" s="49">
        <f>ROUND((Q680*U685*F680*O680/1000000),4)</f>
        <v>3.8300000000000001E-2</v>
      </c>
      <c r="AB685" s="49">
        <f>ROUND((R680*V685*F680*O680/1000000),4)</f>
        <v>0</v>
      </c>
      <c r="AC685" s="50" t="s">
        <v>170</v>
      </c>
      <c r="AD685" s="51" t="s">
        <v>162</v>
      </c>
      <c r="AE685" s="44">
        <f>ROUND((((X685*E680)/1800)),4)</f>
        <v>0.12039999999999999</v>
      </c>
      <c r="AF685" s="44">
        <f>ROUND(((Z685+AA685+AB685)),4)</f>
        <v>7.3999999999999996E-2</v>
      </c>
    </row>
    <row r="686" spans="1:34" ht="12.95" customHeight="1" x14ac:dyDescent="0.25">
      <c r="A686" s="52"/>
      <c r="B686" s="67" t="s">
        <v>242</v>
      </c>
      <c r="C686" s="46">
        <v>3</v>
      </c>
      <c r="D686" s="45" t="s">
        <v>228</v>
      </c>
      <c r="E686" s="45">
        <v>1</v>
      </c>
      <c r="F686" s="45">
        <v>1</v>
      </c>
      <c r="G686" s="45">
        <v>6</v>
      </c>
      <c r="H686" s="45">
        <v>60</v>
      </c>
      <c r="I686" s="45">
        <f>(8-1-0.75*2)*60*F686-K686-8*0.12*60</f>
        <v>57.900000000000006</v>
      </c>
      <c r="J686" s="45">
        <v>14</v>
      </c>
      <c r="K686" s="45">
        <f>(8-1-0.75*2)*0.65*60*F686</f>
        <v>214.5</v>
      </c>
      <c r="L686" s="48">
        <v>1.49</v>
      </c>
      <c r="M686" s="48">
        <v>1.49</v>
      </c>
      <c r="N686" s="45">
        <v>10</v>
      </c>
      <c r="O686" s="45">
        <f>E686/F686</f>
        <v>1</v>
      </c>
      <c r="P686" s="45">
        <v>180</v>
      </c>
      <c r="Q686" s="45">
        <v>60</v>
      </c>
      <c r="R686" s="47">
        <v>60</v>
      </c>
      <c r="S686" s="47">
        <v>0.28999999999999998</v>
      </c>
      <c r="T686" s="48">
        <f>ROUND((L686*I686+1.3*L686*K686+S686*H686),4)</f>
        <v>519.15750000000003</v>
      </c>
      <c r="U686" s="48">
        <f>ROUND((M686*I686+1.3*M686*K686+S686*H686),4)</f>
        <v>519.15750000000003</v>
      </c>
      <c r="V686" s="48">
        <f>ROUND((M686*I686+1.3*M686*K686+S686*H686),4)</f>
        <v>519.15750000000003</v>
      </c>
      <c r="W686" s="48">
        <f>ROUND((L686*J686+1.3*L686*N686+S686*G686),4)</f>
        <v>41.97</v>
      </c>
      <c r="X686" s="48">
        <f>ROUND((M686*J686+1.3*M686*N686+S686*G686),4)</f>
        <v>41.97</v>
      </c>
      <c r="Y686" s="48">
        <f>ROUND((M686*J686+1.3*M686*N686+S686*G686),4)</f>
        <v>41.97</v>
      </c>
      <c r="Z686" s="49">
        <f>ROUND((P686*T686*F686*O686/1000000),4)</f>
        <v>9.3399999999999997E-2</v>
      </c>
      <c r="AA686" s="49">
        <f>ROUND((Q686*U686*F686*O686/1000000),4)</f>
        <v>3.1099999999999999E-2</v>
      </c>
      <c r="AB686" s="49">
        <f>ROUND((R686*V686*F686*O686/1000000),4)</f>
        <v>3.1099999999999999E-2</v>
      </c>
      <c r="AC686" s="50" t="s">
        <v>200</v>
      </c>
      <c r="AD686" s="51" t="s">
        <v>153</v>
      </c>
      <c r="AE686" s="44">
        <f>ROUND((((X686*E686)/1800)*0.8),4)</f>
        <v>1.8700000000000001E-2</v>
      </c>
      <c r="AF686" s="44">
        <f>ROUND(((Z686+AA686+AB686)*0.8),4)</f>
        <v>0.1245</v>
      </c>
      <c r="AG686" s="88"/>
      <c r="AH686" s="88"/>
    </row>
    <row r="687" spans="1:34" ht="12.95" customHeight="1" x14ac:dyDescent="0.25">
      <c r="A687" s="52"/>
      <c r="B687" s="53" t="s">
        <v>243</v>
      </c>
      <c r="C687" s="52"/>
      <c r="D687" s="52"/>
      <c r="E687" s="52"/>
      <c r="F687" s="63"/>
      <c r="G687" s="52"/>
      <c r="H687" s="52"/>
      <c r="I687" s="52"/>
      <c r="J687" s="52"/>
      <c r="K687" s="52"/>
      <c r="L687" s="56"/>
      <c r="M687" s="56"/>
      <c r="N687" s="52"/>
      <c r="O687" s="52"/>
      <c r="P687" s="52"/>
      <c r="Q687" s="52"/>
      <c r="R687" s="52"/>
      <c r="S687" s="57"/>
      <c r="T687" s="54"/>
      <c r="U687" s="54"/>
      <c r="V687" s="54"/>
      <c r="W687" s="54"/>
      <c r="X687" s="54"/>
      <c r="Y687" s="54"/>
      <c r="Z687" s="54"/>
      <c r="AA687" s="54"/>
      <c r="AB687" s="54"/>
      <c r="AC687" s="50" t="s">
        <v>201</v>
      </c>
      <c r="AD687" s="51" t="s">
        <v>202</v>
      </c>
      <c r="AE687" s="44">
        <f>ROUND((((X686*E686)/1800)*0.13),4)</f>
        <v>3.0000000000000001E-3</v>
      </c>
      <c r="AF687" s="44">
        <f>ROUND(((Z686+AA686+AB686)*0.13),4)</f>
        <v>2.0199999999999999E-2</v>
      </c>
      <c r="AG687" s="88"/>
      <c r="AH687" s="88"/>
    </row>
    <row r="688" spans="1:34" ht="12.95" customHeight="1" x14ac:dyDescent="0.25">
      <c r="A688" s="52"/>
      <c r="B688" s="88"/>
      <c r="C688" s="55"/>
      <c r="D688" s="55"/>
      <c r="E688" s="52"/>
      <c r="F688" s="63"/>
      <c r="G688" s="52"/>
      <c r="H688" s="52"/>
      <c r="I688" s="52"/>
      <c r="J688" s="52"/>
      <c r="K688" s="52"/>
      <c r="L688" s="59">
        <v>0.12</v>
      </c>
      <c r="M688" s="59">
        <v>0.15</v>
      </c>
      <c r="N688" s="52"/>
      <c r="O688" s="52"/>
      <c r="P688" s="52"/>
      <c r="Q688" s="52"/>
      <c r="R688" s="52"/>
      <c r="S688" s="60">
        <v>5.8000000000000003E-2</v>
      </c>
      <c r="T688" s="48">
        <f>ROUND((L688*I686+1.3*L688*K686+S688*H686),4)</f>
        <v>43.89</v>
      </c>
      <c r="U688" s="48">
        <f>ROUND((M688*0.9*I686+1.3*M688*0.9*K686+S688*H686),4)</f>
        <v>48.941299999999998</v>
      </c>
      <c r="V688" s="48">
        <f>ROUND((M688*I686+1.3*M688*K686+S688*H686),4)</f>
        <v>53.9925</v>
      </c>
      <c r="W688" s="48">
        <f>ROUND((L688*J686+1.3*L688*N686+S688*G686),4)</f>
        <v>3.5880000000000001</v>
      </c>
      <c r="X688" s="48">
        <f>ROUND((M688*0.9*J686+1.3*M688*0.9*N686+S688*G686),4)</f>
        <v>3.9929999999999999</v>
      </c>
      <c r="Y688" s="48">
        <f>ROUND((M688*J686+1.3*M688*N686+S688*G686),4)</f>
        <v>4.3979999999999997</v>
      </c>
      <c r="Z688" s="49">
        <f>ROUND((P686*T688*F686*O686/1000000),4)</f>
        <v>7.9000000000000008E-3</v>
      </c>
      <c r="AA688" s="49">
        <f>ROUND((Q686*U688*F686*O686/1000000),4)</f>
        <v>2.8999999999999998E-3</v>
      </c>
      <c r="AB688" s="49">
        <f>ROUND((R686*V688*F686*O686/1000000),4)</f>
        <v>3.2000000000000002E-3</v>
      </c>
      <c r="AC688" s="50" t="s">
        <v>203</v>
      </c>
      <c r="AD688" s="51" t="s">
        <v>204</v>
      </c>
      <c r="AE688" s="44">
        <f>ROUND((((X688*E686)/1800)),4)</f>
        <v>2.2000000000000001E-3</v>
      </c>
      <c r="AF688" s="44">
        <f>ROUND(((Z688+AA688+AB688)),5)</f>
        <v>1.4E-2</v>
      </c>
      <c r="AG688" s="88"/>
      <c r="AH688" s="88"/>
    </row>
    <row r="689" spans="1:34" ht="12.95" customHeight="1" x14ac:dyDescent="0.25">
      <c r="A689" s="52"/>
      <c r="B689" s="88"/>
      <c r="C689" s="52"/>
      <c r="D689" s="52"/>
      <c r="E689" s="52"/>
      <c r="F689" s="63"/>
      <c r="G689" s="52"/>
      <c r="H689" s="52"/>
      <c r="I689" s="52"/>
      <c r="J689" s="52"/>
      <c r="K689" s="52"/>
      <c r="L689" s="59">
        <v>0.26</v>
      </c>
      <c r="M689" s="59">
        <v>0.31</v>
      </c>
      <c r="N689" s="52"/>
      <c r="O689" s="52"/>
      <c r="P689" s="52"/>
      <c r="Q689" s="52"/>
      <c r="R689" s="52"/>
      <c r="S689" s="61">
        <v>0.18</v>
      </c>
      <c r="T689" s="48">
        <f>ROUND((L689*I686+1.3*L689*K686+S689*H686),4)</f>
        <v>98.355000000000004</v>
      </c>
      <c r="U689" s="48">
        <f>ROUND((M689*0.9*I686+1.3*M689*0.9*K686+S689*H686),4)</f>
        <v>104.7533</v>
      </c>
      <c r="V689" s="48">
        <f>ROUND((M689*I686+1.3*M689*K686+S689*H686),4)</f>
        <v>115.1925</v>
      </c>
      <c r="W689" s="48">
        <f>ROUND((L689*J686+1.3*L689*N686+S689*G686),4)</f>
        <v>8.1</v>
      </c>
      <c r="X689" s="48">
        <f>ROUND((M689*0.9*J686+1.3*M689*0.9*N686+S689*G686),4)</f>
        <v>8.6129999999999995</v>
      </c>
      <c r="Y689" s="48">
        <f>ROUND((M689*J686+1.3*N686+S689*G686),4)</f>
        <v>18.420000000000002</v>
      </c>
      <c r="Z689" s="49">
        <f>ROUND((P686*T689*F686*O686/1000000),4)</f>
        <v>1.77E-2</v>
      </c>
      <c r="AA689" s="49">
        <f>ROUND((Q686*U689*F686*O686/1000000),4)</f>
        <v>6.3E-3</v>
      </c>
      <c r="AB689" s="49">
        <f>ROUND((R686*V689*F686*O686/1000000),4)</f>
        <v>6.8999999999999999E-3</v>
      </c>
      <c r="AC689" s="50" t="s">
        <v>205</v>
      </c>
      <c r="AD689" s="51" t="s">
        <v>206</v>
      </c>
      <c r="AE689" s="44">
        <f>ROUND((((X689*E686)/1800)),4)</f>
        <v>4.7999999999999996E-3</v>
      </c>
      <c r="AF689" s="44">
        <f>ROUND(((Z689+AA689+AB689)),4)</f>
        <v>3.09E-2</v>
      </c>
      <c r="AG689" s="88"/>
      <c r="AH689" s="88"/>
    </row>
    <row r="690" spans="1:34" ht="12.95" customHeight="1" x14ac:dyDescent="0.25">
      <c r="A690" s="52"/>
      <c r="B690" s="53"/>
      <c r="C690" s="52"/>
      <c r="D690" s="52"/>
      <c r="E690" s="52"/>
      <c r="F690" s="63"/>
      <c r="G690" s="52"/>
      <c r="H690" s="52"/>
      <c r="I690" s="52"/>
      <c r="J690" s="52"/>
      <c r="K690" s="52"/>
      <c r="L690" s="59">
        <v>0.17</v>
      </c>
      <c r="M690" s="59">
        <v>0.25</v>
      </c>
      <c r="N690" s="52"/>
      <c r="O690" s="52"/>
      <c r="P690" s="52"/>
      <c r="Q690" s="52"/>
      <c r="R690" s="52"/>
      <c r="S690" s="61">
        <v>0.04</v>
      </c>
      <c r="T690" s="48">
        <f>ROUND((L690*I686+1.3*L690*K686+S690*H686),4)</f>
        <v>59.647500000000001</v>
      </c>
      <c r="U690" s="48">
        <f>ROUND((M690*0.9*I686+1.3*M690*0.9*K686+S690*H686),4)</f>
        <v>78.168800000000005</v>
      </c>
      <c r="V690" s="48">
        <f>ROUND((M690*I686+1.3*M690*K686+S690*H686),4)</f>
        <v>86.587500000000006</v>
      </c>
      <c r="W690" s="48">
        <f>ROUND((L690*J686+1.3*L690*N686+S690*G686),4)</f>
        <v>4.83</v>
      </c>
      <c r="X690" s="48">
        <f>ROUND((M690*0.9*J686+1.3*M690*0.9*N686+S690*G686),4)</f>
        <v>6.3150000000000004</v>
      </c>
      <c r="Y690" s="48">
        <f>ROUND((M690*J686+1.3*M690*N686+S690*G686),4)</f>
        <v>6.99</v>
      </c>
      <c r="Z690" s="49">
        <f>ROUND((P686*T690*F686*O686/1000000),4)</f>
        <v>1.0699999999999999E-2</v>
      </c>
      <c r="AA690" s="49">
        <f>ROUND((Q686*U690*F686*O686/1000000),4)</f>
        <v>4.7000000000000002E-3</v>
      </c>
      <c r="AB690" s="49">
        <f>ROUND((R686*V690*F686*O686/1000000),4)</f>
        <v>5.1999999999999998E-3</v>
      </c>
      <c r="AC690" s="50" t="s">
        <v>250</v>
      </c>
      <c r="AD690" s="51" t="s">
        <v>208</v>
      </c>
      <c r="AE690" s="44">
        <f>ROUND((((X690*E686)/1800)),4)</f>
        <v>3.5000000000000001E-3</v>
      </c>
      <c r="AF690" s="44">
        <f>ROUND(((Z690+AA690+AB690)),4)</f>
        <v>2.06E-2</v>
      </c>
      <c r="AG690" s="88"/>
      <c r="AH690" s="88"/>
    </row>
    <row r="691" spans="1:34" ht="12.95" customHeight="1" x14ac:dyDescent="0.25">
      <c r="A691" s="56"/>
      <c r="B691" s="62"/>
      <c r="C691" s="56"/>
      <c r="D691" s="56"/>
      <c r="E691" s="56"/>
      <c r="F691" s="66"/>
      <c r="G691" s="56"/>
      <c r="H691" s="56"/>
      <c r="I691" s="56"/>
      <c r="J691" s="56"/>
      <c r="K691" s="56"/>
      <c r="L691" s="59">
        <v>0.77</v>
      </c>
      <c r="M691" s="59">
        <v>0.94</v>
      </c>
      <c r="N691" s="56"/>
      <c r="O691" s="56"/>
      <c r="P691" s="56"/>
      <c r="Q691" s="56"/>
      <c r="R691" s="56"/>
      <c r="S691" s="61">
        <v>1.44</v>
      </c>
      <c r="T691" s="48">
        <f>ROUND((L691*I686+1.3*L691*K686+S691*H686),4)</f>
        <v>345.69749999999999</v>
      </c>
      <c r="U691" s="48">
        <f>ROUND((M691*0.9*I686+1.3*M691*0.9*K686+S691*H686),4)</f>
        <v>371.29050000000001</v>
      </c>
      <c r="V691" s="48">
        <f>ROUND((M691*I686+1.3*M691*K686+S691*H686),4)</f>
        <v>402.94499999999999</v>
      </c>
      <c r="W691" s="48">
        <f>ROUND((L691*J686+1.3*L691*N686+S691*G686),4)</f>
        <v>29.43</v>
      </c>
      <c r="X691" s="48">
        <f>ROUND((M691*0.9*J686+1.3*M691*0.9*N686+S691*G686),4)</f>
        <v>31.481999999999999</v>
      </c>
      <c r="Y691" s="48">
        <f>ROUND((M691*J686+1.3*M691*N686+S691*G686),4)</f>
        <v>34.020000000000003</v>
      </c>
      <c r="Z691" s="49">
        <f>ROUND((P686*T691*F686*O686/1000000),4)</f>
        <v>6.2199999999999998E-2</v>
      </c>
      <c r="AA691" s="49">
        <f>ROUND((Q686*U691*F686*O686/1000000),4)</f>
        <v>2.23E-2</v>
      </c>
      <c r="AB691" s="49">
        <f>ROUND((R686*V691*F686*O686/1000000),4)</f>
        <v>2.4199999999999999E-2</v>
      </c>
      <c r="AC691" s="50" t="s">
        <v>170</v>
      </c>
      <c r="AD691" s="51" t="s">
        <v>162</v>
      </c>
      <c r="AE691" s="44">
        <f>ROUND((((X691*E686)/1800)),4)</f>
        <v>1.7500000000000002E-2</v>
      </c>
      <c r="AF691" s="44">
        <f>ROUND(((Z691+AA691+AB691)),4)</f>
        <v>0.1087</v>
      </c>
      <c r="AG691" s="87"/>
      <c r="AH691" s="87"/>
    </row>
    <row r="692" spans="1:34" s="285" customFormat="1" ht="12.95" customHeight="1" x14ac:dyDescent="0.2">
      <c r="A692" s="1057" t="s">
        <v>553</v>
      </c>
      <c r="B692" s="1058"/>
      <c r="C692" s="1058"/>
      <c r="D692" s="1058"/>
      <c r="E692" s="1058"/>
      <c r="F692" s="1058"/>
      <c r="G692" s="1058"/>
      <c r="H692" s="1058"/>
      <c r="I692" s="1058"/>
      <c r="J692" s="1058"/>
      <c r="K692" s="1058"/>
      <c r="L692" s="1058"/>
      <c r="M692" s="1058"/>
      <c r="N692" s="1058"/>
      <c r="O692" s="1058"/>
      <c r="P692" s="1058"/>
      <c r="Q692" s="1058"/>
      <c r="R692" s="1058"/>
      <c r="S692" s="1059"/>
      <c r="T692" s="280">
        <f>ROUND((L692*I692+1.3*L692*K692+S692*H692),4)</f>
        <v>0</v>
      </c>
      <c r="U692" s="280">
        <f>ROUND((M692*I692+1.3*M692*K692+S692*H692),4)</f>
        <v>0</v>
      </c>
      <c r="V692" s="280">
        <f>ROUND((M692*I692+1.3*M692*K692+S692*H692),4)</f>
        <v>0</v>
      </c>
      <c r="W692" s="280">
        <f>ROUND((L692*J692+1.3*L692*N692+S692*G692),4)</f>
        <v>0</v>
      </c>
      <c r="X692" s="280">
        <f>ROUND((M692*J692+1.3*M692*N692+S692*G692),4)</f>
        <v>0</v>
      </c>
      <c r="Y692" s="280">
        <f>ROUND((M692*J692+1.3*M692*N692+S692*G692),4)</f>
        <v>0</v>
      </c>
      <c r="Z692" s="281">
        <f>ROUND((P692*T692*F692*O692/1000000),4)</f>
        <v>0</v>
      </c>
      <c r="AA692" s="281">
        <f>ROUND((Q692*U692*F692*O692/1000000),4)</f>
        <v>0</v>
      </c>
      <c r="AB692" s="281">
        <f>ROUND((R692*V692*F692*O692/1000000),4)</f>
        <v>0</v>
      </c>
      <c r="AC692" s="282" t="s">
        <v>200</v>
      </c>
      <c r="AD692" s="283" t="s">
        <v>153</v>
      </c>
      <c r="AE692" s="284">
        <f>MAX(AE626,AE632,AE638,AE644,AE650,AE656,AE662,AE668,AE674,AE680,AE686)</f>
        <v>0.12720000000000001</v>
      </c>
      <c r="AF692" s="284">
        <f>AF626+AF632+AF638+AF644+AF650+AF656+AF662+AF668+AF674+AF680+AF686</f>
        <v>13.2605</v>
      </c>
    </row>
    <row r="693" spans="1:34" s="285" customFormat="1" ht="12.95" customHeight="1" x14ac:dyDescent="0.2">
      <c r="A693" s="1057"/>
      <c r="B693" s="1060"/>
      <c r="C693" s="1060"/>
      <c r="D693" s="1060"/>
      <c r="E693" s="1060"/>
      <c r="F693" s="1060"/>
      <c r="G693" s="1060"/>
      <c r="H693" s="1060"/>
      <c r="I693" s="1060"/>
      <c r="J693" s="1060"/>
      <c r="K693" s="1060"/>
      <c r="L693" s="1060"/>
      <c r="M693" s="1060"/>
      <c r="N693" s="1060"/>
      <c r="O693" s="1060"/>
      <c r="P693" s="1060"/>
      <c r="Q693" s="1060"/>
      <c r="R693" s="1060"/>
      <c r="S693" s="1061"/>
      <c r="T693" s="286"/>
      <c r="U693" s="286"/>
      <c r="V693" s="286"/>
      <c r="W693" s="286"/>
      <c r="X693" s="286"/>
      <c r="Y693" s="286"/>
      <c r="Z693" s="286"/>
      <c r="AA693" s="286"/>
      <c r="AB693" s="286"/>
      <c r="AC693" s="282" t="s">
        <v>201</v>
      </c>
      <c r="AD693" s="283" t="s">
        <v>202</v>
      </c>
      <c r="AE693" s="284">
        <f t="shared" ref="AE693:AE696" si="12">MAX(AE627,AE633,AE639,AE645,AE651,AE657,AE663,AE669,AE675,AE681,AE687)</f>
        <v>2.07E-2</v>
      </c>
      <c r="AF693" s="284">
        <f t="shared" ref="AF693:AF697" si="13">AF627+AF633+AF639+AF645+AF651+AF657+AF663+AF669+AF675+AF681+AF687</f>
        <v>2.1547999999999998</v>
      </c>
    </row>
    <row r="694" spans="1:34" s="285" customFormat="1" ht="12.95" customHeight="1" x14ac:dyDescent="0.2">
      <c r="A694" s="1057"/>
      <c r="B694" s="1060"/>
      <c r="C694" s="1060"/>
      <c r="D694" s="1060"/>
      <c r="E694" s="1060"/>
      <c r="F694" s="1060"/>
      <c r="G694" s="1060"/>
      <c r="H694" s="1060"/>
      <c r="I694" s="1060"/>
      <c r="J694" s="1060"/>
      <c r="K694" s="1060"/>
      <c r="L694" s="1060"/>
      <c r="M694" s="1060"/>
      <c r="N694" s="1060"/>
      <c r="O694" s="1060"/>
      <c r="P694" s="1060"/>
      <c r="Q694" s="1060"/>
      <c r="R694" s="1060"/>
      <c r="S694" s="1061"/>
      <c r="T694" s="280">
        <f>ROUND((L694*I692+1.3*L694*K692+S694*H692),4)</f>
        <v>0</v>
      </c>
      <c r="U694" s="280">
        <f>ROUND((M694*0.9*I692+1.3*M694*0.9*K692+S694*H692),4)</f>
        <v>0</v>
      </c>
      <c r="V694" s="280">
        <f>ROUND((M694*I692+1.3*M694*K692+S694*H692),4)</f>
        <v>0</v>
      </c>
      <c r="W694" s="280">
        <f>ROUND((L694*J692+1.3*L694*N692+S694*G692),4)</f>
        <v>0</v>
      </c>
      <c r="X694" s="280">
        <f>ROUND((M694*0.9*J692+1.3*M694*0.9*N692+S694*G692),4)</f>
        <v>0</v>
      </c>
      <c r="Y694" s="280">
        <f>ROUND((M694*J692+1.3*M694*N692+S694*G692),4)</f>
        <v>0</v>
      </c>
      <c r="Z694" s="281">
        <f>ROUND((P692*T694*F692*O692/1000000),4)</f>
        <v>0</v>
      </c>
      <c r="AA694" s="281">
        <f>ROUND((Q692*U694*F692*O692/1000000),4)</f>
        <v>0</v>
      </c>
      <c r="AB694" s="281">
        <f>ROUND((R692*V694*F692*O692/1000000),4)</f>
        <v>0</v>
      </c>
      <c r="AC694" s="282" t="s">
        <v>203</v>
      </c>
      <c r="AD694" s="283" t="s">
        <v>204</v>
      </c>
      <c r="AE694" s="284">
        <f t="shared" si="12"/>
        <v>1.4500000000000001E-2</v>
      </c>
      <c r="AF694" s="284">
        <f t="shared" si="13"/>
        <v>1.5195000000000001</v>
      </c>
      <c r="AG694" s="288"/>
      <c r="AH694" s="288"/>
    </row>
    <row r="695" spans="1:34" s="285" customFormat="1" ht="12.95" customHeight="1" x14ac:dyDescent="0.2">
      <c r="A695" s="1057"/>
      <c r="B695" s="1060"/>
      <c r="C695" s="1060"/>
      <c r="D695" s="1060"/>
      <c r="E695" s="1060"/>
      <c r="F695" s="1060"/>
      <c r="G695" s="1060"/>
      <c r="H695" s="1060"/>
      <c r="I695" s="1060"/>
      <c r="J695" s="1060"/>
      <c r="K695" s="1060"/>
      <c r="L695" s="1060"/>
      <c r="M695" s="1060"/>
      <c r="N695" s="1060"/>
      <c r="O695" s="1060"/>
      <c r="P695" s="1060"/>
      <c r="Q695" s="1060"/>
      <c r="R695" s="1060"/>
      <c r="S695" s="1061"/>
      <c r="T695" s="280">
        <f>ROUND((L695*I692+1.3*L695*K692+S695*H692),4)</f>
        <v>0</v>
      </c>
      <c r="U695" s="280">
        <f>ROUND((M695*0.9*I692+1.3*M695*0.9*K692+S695*H692),4)</f>
        <v>0</v>
      </c>
      <c r="V695" s="280">
        <f>ROUND((M695*I692+1.3*M695*K692+S695*H692),4)</f>
        <v>0</v>
      </c>
      <c r="W695" s="280">
        <f>ROUND((L695*J692+1.3*L695*N692+S695*G692),4)</f>
        <v>0</v>
      </c>
      <c r="X695" s="280">
        <f>ROUND((M695*0.9*J692+1.3*M695*0.9*N692+S695*G692),4)</f>
        <v>0</v>
      </c>
      <c r="Y695" s="280">
        <f>ROUND((M695*J692+1.3*N692+S695*G692),4)</f>
        <v>0</v>
      </c>
      <c r="Z695" s="281">
        <f>ROUND((P692*T695*F692*O692/1000000),4)</f>
        <v>0</v>
      </c>
      <c r="AA695" s="281">
        <f>ROUND((Q692*U695*F692*O692/1000000),4)</f>
        <v>0</v>
      </c>
      <c r="AB695" s="281">
        <f>ROUND((R692*V695*F692*O692/1000000),4)</f>
        <v>0</v>
      </c>
      <c r="AC695" s="282" t="s">
        <v>205</v>
      </c>
      <c r="AD695" s="283" t="s">
        <v>206</v>
      </c>
      <c r="AE695" s="284">
        <f t="shared" si="12"/>
        <v>3.32E-2</v>
      </c>
      <c r="AF695" s="284">
        <f t="shared" si="13"/>
        <v>3.1123000000000003</v>
      </c>
      <c r="AG695" s="288"/>
      <c r="AH695" s="288"/>
    </row>
    <row r="696" spans="1:34" s="285" customFormat="1" ht="12.95" customHeight="1" x14ac:dyDescent="0.2">
      <c r="A696" s="1057"/>
      <c r="B696" s="1060"/>
      <c r="C696" s="1060"/>
      <c r="D696" s="1060"/>
      <c r="E696" s="1060"/>
      <c r="F696" s="1060"/>
      <c r="G696" s="1060"/>
      <c r="H696" s="1060"/>
      <c r="I696" s="1060"/>
      <c r="J696" s="1060"/>
      <c r="K696" s="1060"/>
      <c r="L696" s="1060"/>
      <c r="M696" s="1060"/>
      <c r="N696" s="1060"/>
      <c r="O696" s="1060"/>
      <c r="P696" s="1060"/>
      <c r="Q696" s="1060"/>
      <c r="R696" s="1060"/>
      <c r="S696" s="1061"/>
      <c r="T696" s="280">
        <f>ROUND((L696*I692+1.3*L696*K692+S696*H692),4)</f>
        <v>0</v>
      </c>
      <c r="U696" s="280">
        <f>ROUND((M696*0.9*I692+1.3*M696*0.9*K692+S696*H692),4)</f>
        <v>0</v>
      </c>
      <c r="V696" s="280">
        <f>ROUND((M696*I692+1.3*M696*K692+S696*H692),4)</f>
        <v>0</v>
      </c>
      <c r="W696" s="280">
        <f>ROUND((L696*J692+1.3*L696*N692+S696*G692),4)</f>
        <v>0</v>
      </c>
      <c r="X696" s="280">
        <f>ROUND((M696*0.9*J692+1.3*M696*0.9*N692+S696*G692),4)</f>
        <v>0</v>
      </c>
      <c r="Y696" s="280">
        <f>ROUND((M696*J692+1.3*M696*N692+S696*G692),4)</f>
        <v>0</v>
      </c>
      <c r="Z696" s="281">
        <f>ROUND((P692*T696*F692*O692/1000000),4)</f>
        <v>0</v>
      </c>
      <c r="AA696" s="281">
        <f>ROUND((Q692*U696*F692*O692/1000000),4)</f>
        <v>0</v>
      </c>
      <c r="AB696" s="281">
        <f>ROUND((R692*V696*F692*O692/1000000),4)</f>
        <v>0</v>
      </c>
      <c r="AC696" s="282" t="s">
        <v>250</v>
      </c>
      <c r="AD696" s="283" t="s">
        <v>208</v>
      </c>
      <c r="AE696" s="284">
        <f t="shared" si="12"/>
        <v>2.3800000000000002E-2</v>
      </c>
      <c r="AF696" s="284">
        <f t="shared" si="13"/>
        <v>2.0912999999999999</v>
      </c>
      <c r="AG696" s="288"/>
      <c r="AH696" s="288"/>
    </row>
    <row r="697" spans="1:34" s="285" customFormat="1" ht="12.95" customHeight="1" x14ac:dyDescent="0.2">
      <c r="A697" s="1062"/>
      <c r="B697" s="1063"/>
      <c r="C697" s="1063"/>
      <c r="D697" s="1063"/>
      <c r="E697" s="1063"/>
      <c r="F697" s="1063"/>
      <c r="G697" s="1063"/>
      <c r="H697" s="1063"/>
      <c r="I697" s="1063"/>
      <c r="J697" s="1063"/>
      <c r="K697" s="1063"/>
      <c r="L697" s="1063"/>
      <c r="M697" s="1063"/>
      <c r="N697" s="1063"/>
      <c r="O697" s="1063"/>
      <c r="P697" s="1063"/>
      <c r="Q697" s="1063"/>
      <c r="R697" s="1063"/>
      <c r="S697" s="1064"/>
      <c r="T697" s="280">
        <f>ROUND((L697*I692+1.3*L697*K692+S697*H692),4)</f>
        <v>0</v>
      </c>
      <c r="U697" s="280">
        <f>ROUND((M697*0.9*I692+1.3*M697*0.9*K692+S697*H692),4)</f>
        <v>0</v>
      </c>
      <c r="V697" s="280">
        <f>ROUND((M697*I692+1.3*M697*K692+S697*H692),4)</f>
        <v>0</v>
      </c>
      <c r="W697" s="280">
        <f>ROUND((L697*J692+1.3*L697*N692+S697*G692),4)</f>
        <v>0</v>
      </c>
      <c r="X697" s="280">
        <f>ROUND((M697*0.9*J692+1.3*M697*0.9*N692+S697*G692),4)</f>
        <v>0</v>
      </c>
      <c r="Y697" s="280">
        <f>ROUND((M697*J692+1.3*M697*N692+S697*G692),4)</f>
        <v>0</v>
      </c>
      <c r="Z697" s="281">
        <f>ROUND((P692*T697*F692*O692/1000000),4)</f>
        <v>0</v>
      </c>
      <c r="AA697" s="281">
        <f>ROUND((Q692*U697*F692*O692/1000000),4)</f>
        <v>0</v>
      </c>
      <c r="AB697" s="281">
        <f>ROUND((R692*V697*F692*O692/1000000),4)</f>
        <v>0</v>
      </c>
      <c r="AC697" s="282" t="s">
        <v>170</v>
      </c>
      <c r="AD697" s="283" t="s">
        <v>162</v>
      </c>
      <c r="AE697" s="284">
        <f>MAX(AE631,AE637,AE643,AE649,AE655,AE661,AE667,AE673,AE679,AE685,AE691)</f>
        <v>0.12039999999999999</v>
      </c>
      <c r="AF697" s="284">
        <f t="shared" si="13"/>
        <v>9.6734000000000009</v>
      </c>
      <c r="AG697" s="290">
        <f>SUM(AE692:AE697)</f>
        <v>0.33980000000000005</v>
      </c>
      <c r="AH697" s="290">
        <f>SUM(AF692:AF697)</f>
        <v>31.811800000000002</v>
      </c>
    </row>
    <row r="698" spans="1:34" s="285" customFormat="1" ht="12.95" customHeight="1" x14ac:dyDescent="0.2">
      <c r="A698" s="1068" t="s">
        <v>112</v>
      </c>
      <c r="B698" s="1069"/>
      <c r="C698" s="1069"/>
      <c r="D698" s="1069"/>
      <c r="E698" s="1069"/>
      <c r="F698" s="1069"/>
      <c r="G698" s="1069"/>
      <c r="H698" s="1069"/>
      <c r="I698" s="1069"/>
      <c r="J698" s="1069"/>
      <c r="K698" s="1069"/>
      <c r="L698" s="1069"/>
      <c r="M698" s="1069"/>
      <c r="N698" s="1069"/>
      <c r="O698" s="1069"/>
      <c r="P698" s="1069"/>
      <c r="Q698" s="1069"/>
      <c r="R698" s="1069"/>
      <c r="S698" s="1069"/>
      <c r="T698" s="1069"/>
      <c r="U698" s="1069"/>
      <c r="V698" s="1069"/>
      <c r="W698" s="1069"/>
      <c r="X698" s="1069"/>
      <c r="Y698" s="1069"/>
      <c r="Z698" s="1069"/>
      <c r="AA698" s="1069"/>
      <c r="AB698" s="1069"/>
      <c r="AC698" s="1069"/>
      <c r="AD698" s="1069"/>
      <c r="AE698" s="1069"/>
      <c r="AF698" s="1070"/>
    </row>
    <row r="699" spans="1:34" ht="12.95" customHeight="1" x14ac:dyDescent="0.25">
      <c r="A699" s="45">
        <v>8030</v>
      </c>
      <c r="B699" s="46" t="s">
        <v>218</v>
      </c>
      <c r="C699" s="45">
        <v>4</v>
      </c>
      <c r="D699" s="45" t="s">
        <v>199</v>
      </c>
      <c r="E699" s="45">
        <v>1</v>
      </c>
      <c r="F699" s="45">
        <v>1</v>
      </c>
      <c r="G699" s="45">
        <v>6</v>
      </c>
      <c r="H699" s="45">
        <v>60</v>
      </c>
      <c r="I699" s="45">
        <f>(8-1-0.75*2)*60*F699-K699-8*0.12*60</f>
        <v>57.900000000000006</v>
      </c>
      <c r="J699" s="45">
        <v>14</v>
      </c>
      <c r="K699" s="45">
        <f>(8-1-0.75*2)*0.65*60*F699</f>
        <v>214.5</v>
      </c>
      <c r="L699" s="45">
        <v>2.4700000000000002</v>
      </c>
      <c r="M699" s="45">
        <v>2.4700000000000002</v>
      </c>
      <c r="N699" s="45">
        <v>10</v>
      </c>
      <c r="O699" s="45">
        <f>E699/F699</f>
        <v>1</v>
      </c>
      <c r="P699" s="45">
        <v>150</v>
      </c>
      <c r="Q699" s="45">
        <v>0</v>
      </c>
      <c r="R699" s="47">
        <v>0</v>
      </c>
      <c r="S699" s="45">
        <v>0.48</v>
      </c>
      <c r="T699" s="48">
        <f>ROUND((L699*I699+1.3*L699*K699+S699*H699),4)</f>
        <v>860.57249999999999</v>
      </c>
      <c r="U699" s="48">
        <f>ROUND((M699*I699+1.3*M699*K699+S699*H699),4)</f>
        <v>860.57249999999999</v>
      </c>
      <c r="V699" s="48">
        <f>ROUND((M699*I699+1.3*M699*K699+S699*H699),4)</f>
        <v>860.57249999999999</v>
      </c>
      <c r="W699" s="48">
        <f>ROUND((L699*J699+1.3*L699*N699+S699*G699),4)</f>
        <v>69.569999999999993</v>
      </c>
      <c r="X699" s="48">
        <f>ROUND((M699*J699+1.3*M699*N699+S699*G699),4)</f>
        <v>69.569999999999993</v>
      </c>
      <c r="Y699" s="48">
        <f>ROUND((M699*J699+1.3*M699*N699+S699*G699),4)</f>
        <v>69.569999999999993</v>
      </c>
      <c r="Z699" s="49">
        <f>ROUND((P699*T699*F699*O699/1000000),4)</f>
        <v>0.12909999999999999</v>
      </c>
      <c r="AA699" s="49">
        <f>ROUND((Q699*U699*F699*O699/1000000),4)</f>
        <v>0</v>
      </c>
      <c r="AB699" s="49">
        <f>ROUND((R699*V699*F699*O699/1000000),4)</f>
        <v>0</v>
      </c>
      <c r="AC699" s="50" t="s">
        <v>200</v>
      </c>
      <c r="AD699" s="51" t="s">
        <v>153</v>
      </c>
      <c r="AE699" s="44">
        <f>ROUND((((X699*E699)/1800)*0.8),4)</f>
        <v>3.09E-2</v>
      </c>
      <c r="AF699" s="44">
        <f>ROUND(((Z699+AA699+AB699)*0.8),4)</f>
        <v>0.1033</v>
      </c>
    </row>
    <row r="700" spans="1:34" ht="12.95" customHeight="1" x14ac:dyDescent="0.25">
      <c r="A700" s="63"/>
      <c r="B700" s="53" t="s">
        <v>219</v>
      </c>
      <c r="C700" s="52"/>
      <c r="D700" s="52"/>
      <c r="E700" s="52"/>
      <c r="F700" s="63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68"/>
      <c r="T700" s="54"/>
      <c r="U700" s="54"/>
      <c r="V700" s="54"/>
      <c r="W700" s="54"/>
      <c r="X700" s="54"/>
      <c r="Y700" s="54"/>
      <c r="Z700" s="54"/>
      <c r="AA700" s="54"/>
      <c r="AB700" s="54"/>
      <c r="AC700" s="50" t="s">
        <v>201</v>
      </c>
      <c r="AD700" s="51" t="s">
        <v>202</v>
      </c>
      <c r="AE700" s="44">
        <f>ROUND((((X699*E699)/1800)*0.13),4)</f>
        <v>5.0000000000000001E-3</v>
      </c>
      <c r="AF700" s="44">
        <f>ROUND(((Z699+AA699+AB699)*0.13),4)</f>
        <v>1.6799999999999999E-2</v>
      </c>
    </row>
    <row r="701" spans="1:34" ht="12.95" customHeight="1" x14ac:dyDescent="0.25">
      <c r="A701" s="63"/>
      <c r="B701" s="53"/>
      <c r="C701" s="55"/>
      <c r="D701" s="55"/>
      <c r="E701" s="52"/>
      <c r="F701" s="63"/>
      <c r="G701" s="52"/>
      <c r="H701" s="52"/>
      <c r="I701" s="52"/>
      <c r="J701" s="52"/>
      <c r="K701" s="52"/>
      <c r="L701" s="52">
        <v>0.19</v>
      </c>
      <c r="M701" s="52">
        <v>0.23</v>
      </c>
      <c r="N701" s="52"/>
      <c r="O701" s="52"/>
      <c r="P701" s="52"/>
      <c r="Q701" s="52"/>
      <c r="R701" s="52"/>
      <c r="S701" s="69">
        <v>9.7000000000000003E-2</v>
      </c>
      <c r="T701" s="48">
        <f>ROUND((L701*I699+1.3*L701*K699+S701*H699),4)</f>
        <v>69.802499999999995</v>
      </c>
      <c r="U701" s="48">
        <f>ROUND((M701*0.9*I699+1.3*M701*0.9*K699+S701*H699),4)</f>
        <v>75.527299999999997</v>
      </c>
      <c r="V701" s="48">
        <f>ROUND((M701*I699+1.3*M701*K699+S701*H699),4)</f>
        <v>83.272499999999994</v>
      </c>
      <c r="W701" s="48">
        <f>ROUND((L701*J699+1.3*L701*N699+S701*G699),4)</f>
        <v>5.7119999999999997</v>
      </c>
      <c r="X701" s="48">
        <f>ROUND((M701*0.9*J699+1.3*M701*0.9*N699+S701*G699),4)</f>
        <v>6.1710000000000003</v>
      </c>
      <c r="Y701" s="48">
        <f>ROUND((M701*J699+1.3*M701*N699+S701*G699),4)</f>
        <v>6.7919999999999998</v>
      </c>
      <c r="Z701" s="49">
        <f>ROUND((P699*T701*F699*O699/1000000),4)</f>
        <v>1.0500000000000001E-2</v>
      </c>
      <c r="AA701" s="49">
        <f>ROUND((Q699*U701*F699*O699/1000000),4)</f>
        <v>0</v>
      </c>
      <c r="AB701" s="49">
        <f>ROUND((R699*V701*F699*O699/1000000),4)</f>
        <v>0</v>
      </c>
      <c r="AC701" s="50" t="s">
        <v>203</v>
      </c>
      <c r="AD701" s="51" t="s">
        <v>204</v>
      </c>
      <c r="AE701" s="44">
        <f>ROUND((((X701*E699)/1800)),4)</f>
        <v>3.3999999999999998E-3</v>
      </c>
      <c r="AF701" s="44">
        <f>ROUND(((Z701+AA701+AB701)),5)</f>
        <v>1.0500000000000001E-2</v>
      </c>
    </row>
    <row r="702" spans="1:34" ht="12.95" customHeight="1" x14ac:dyDescent="0.25">
      <c r="A702" s="63"/>
      <c r="B702" s="98"/>
      <c r="C702" s="52"/>
      <c r="D702" s="52"/>
      <c r="E702" s="52"/>
      <c r="F702" s="63"/>
      <c r="G702" s="52"/>
      <c r="H702" s="52"/>
      <c r="I702" s="52"/>
      <c r="J702" s="52"/>
      <c r="K702" s="52"/>
      <c r="L702" s="52">
        <v>0.43</v>
      </c>
      <c r="M702" s="52">
        <v>0.51</v>
      </c>
      <c r="N702" s="52"/>
      <c r="O702" s="52"/>
      <c r="P702" s="52"/>
      <c r="Q702" s="52"/>
      <c r="R702" s="52"/>
      <c r="S702" s="69">
        <v>0.3</v>
      </c>
      <c r="T702" s="48">
        <f>ROUND((L702*I699+1.3*L702*K699+S702*H699),4)</f>
        <v>162.80250000000001</v>
      </c>
      <c r="U702" s="48">
        <f>ROUND((M702*0.9*I699+1.3*M702*0.9*K699+S702*H699),4)</f>
        <v>172.56829999999999</v>
      </c>
      <c r="V702" s="48">
        <f>ROUND((M702*I699+1.3*M702*K699+S702*H699),4)</f>
        <v>189.74250000000001</v>
      </c>
      <c r="W702" s="48">
        <f>ROUND((L702*J699+1.3*L702*N699+S702*G699),4)</f>
        <v>13.41</v>
      </c>
      <c r="X702" s="48">
        <f>ROUND((M702*0.9*J699+1.3*M702*0.9*N699+S702*G699),4)</f>
        <v>14.193</v>
      </c>
      <c r="Y702" s="48">
        <f>ROUND((M702*J699+1.3*N699+S702*G699),4)</f>
        <v>21.94</v>
      </c>
      <c r="Z702" s="49">
        <f>ROUND((P699*T702*F699*O699/1000000),4)</f>
        <v>2.4400000000000002E-2</v>
      </c>
      <c r="AA702" s="49">
        <f>ROUND((Q699*U702*F699*O699/1000000),4)</f>
        <v>0</v>
      </c>
      <c r="AB702" s="49">
        <f>ROUND((R699*V702*F699*O699/1000000),4)</f>
        <v>0</v>
      </c>
      <c r="AC702" s="50" t="s">
        <v>205</v>
      </c>
      <c r="AD702" s="51" t="s">
        <v>206</v>
      </c>
      <c r="AE702" s="44">
        <f>ROUND((((X702*E699)/1800)),4)</f>
        <v>7.9000000000000008E-3</v>
      </c>
      <c r="AF702" s="44">
        <f>ROUND(((Z702+AA702+AB702)),4)</f>
        <v>2.4400000000000002E-2</v>
      </c>
    </row>
    <row r="703" spans="1:34" ht="12.95" customHeight="1" x14ac:dyDescent="0.25">
      <c r="A703" s="63"/>
      <c r="B703" s="53"/>
      <c r="C703" s="52"/>
      <c r="D703" s="52"/>
      <c r="E703" s="52"/>
      <c r="F703" s="63"/>
      <c r="G703" s="52"/>
      <c r="H703" s="52"/>
      <c r="I703" s="52"/>
      <c r="J703" s="52"/>
      <c r="K703" s="52"/>
      <c r="L703" s="52">
        <v>0.27</v>
      </c>
      <c r="M703" s="52">
        <v>0.41</v>
      </c>
      <c r="N703" s="52"/>
      <c r="O703" s="52"/>
      <c r="P703" s="52"/>
      <c r="Q703" s="52"/>
      <c r="R703" s="52"/>
      <c r="S703" s="69">
        <v>0.06</v>
      </c>
      <c r="T703" s="48">
        <f>ROUND((L703*I699+1.3*L703*K699+S703*H699),4)</f>
        <v>94.522499999999994</v>
      </c>
      <c r="U703" s="48">
        <f>ROUND((M703*0.9*I699+1.3*M703*0.9*K699+S703*H699),4)</f>
        <v>127.8608</v>
      </c>
      <c r="V703" s="48">
        <f>ROUND((M703*I699+1.3*M703*K699+S703*H699),4)</f>
        <v>141.66749999999999</v>
      </c>
      <c r="W703" s="48">
        <f>ROUND((L703*J699+1.3*L703*N699+S703*G699),4)</f>
        <v>7.65</v>
      </c>
      <c r="X703" s="48">
        <f>ROUND((M703*0.9*J699+1.3*M703*0.9*N699+S703*G699),4)</f>
        <v>10.323</v>
      </c>
      <c r="Y703" s="48">
        <f>ROUND((M703*J699+1.3*M703*N699+S703*G699),4)</f>
        <v>11.43</v>
      </c>
      <c r="Z703" s="49">
        <f>ROUND((P699*T703*F699*O699/1000000),4)</f>
        <v>1.4200000000000001E-2</v>
      </c>
      <c r="AA703" s="49">
        <f>ROUND((Q699*U703*F699*O699/1000000),4)</f>
        <v>0</v>
      </c>
      <c r="AB703" s="49">
        <f>ROUND((R699*V703*F699*O699/1000000),4)</f>
        <v>0</v>
      </c>
      <c r="AC703" s="50" t="s">
        <v>250</v>
      </c>
      <c r="AD703" s="51" t="s">
        <v>208</v>
      </c>
      <c r="AE703" s="44">
        <f>ROUND((((X703*E699)/1800)),4)</f>
        <v>5.7000000000000002E-3</v>
      </c>
      <c r="AF703" s="44">
        <f>ROUND(((Z703+AA703+AB703)),4)</f>
        <v>1.4200000000000001E-2</v>
      </c>
    </row>
    <row r="704" spans="1:34" ht="12.95" customHeight="1" x14ac:dyDescent="0.25">
      <c r="A704" s="63"/>
      <c r="B704" s="53"/>
      <c r="C704" s="56"/>
      <c r="D704" s="56"/>
      <c r="E704" s="56"/>
      <c r="F704" s="66"/>
      <c r="G704" s="56"/>
      <c r="H704" s="56"/>
      <c r="I704" s="56"/>
      <c r="J704" s="56"/>
      <c r="K704" s="56"/>
      <c r="L704" s="56">
        <v>1.29</v>
      </c>
      <c r="M704" s="56">
        <v>1.57</v>
      </c>
      <c r="N704" s="56"/>
      <c r="O704" s="56"/>
      <c r="P704" s="56"/>
      <c r="Q704" s="56"/>
      <c r="R704" s="56"/>
      <c r="S704" s="69">
        <v>2.4</v>
      </c>
      <c r="T704" s="70">
        <f>ROUND((L704*I699+1.3*L704*K699+S704*H699),4)</f>
        <v>578.40750000000003</v>
      </c>
      <c r="U704" s="70">
        <f>ROUND((M704*0.9*I699+1.3*M704*0.9*K699+S704*H699),4)</f>
        <v>619.82780000000002</v>
      </c>
      <c r="V704" s="70">
        <f>ROUND((M704*I699+1.3*M704*K699+S704*H699),4)</f>
        <v>672.69749999999999</v>
      </c>
      <c r="W704" s="70">
        <f>ROUND((L704*J699+1.3*L704*N699+S704*G699),4)</f>
        <v>49.23</v>
      </c>
      <c r="X704" s="70">
        <f>ROUND((M704*0.9*J699+1.3*M704*0.9*N699+S704*G699),4)</f>
        <v>52.551000000000002</v>
      </c>
      <c r="Y704" s="70">
        <f>ROUND((M704*J699+1.3*M704*N699+S704*G699),4)</f>
        <v>56.79</v>
      </c>
      <c r="Z704" s="71">
        <f>ROUND((P699*T704*F699*O699/1000000),4)</f>
        <v>8.6800000000000002E-2</v>
      </c>
      <c r="AA704" s="71">
        <f>ROUND((Q699*U704*F699*O699/1000000),4)</f>
        <v>0</v>
      </c>
      <c r="AB704" s="71">
        <f>ROUND((R699*V704*F699*O699/1000000),4)</f>
        <v>0</v>
      </c>
      <c r="AC704" s="50" t="s">
        <v>170</v>
      </c>
      <c r="AD704" s="51" t="s">
        <v>162</v>
      </c>
      <c r="AE704" s="44">
        <f>ROUND((((X704*E699)/1800)),4)</f>
        <v>2.92E-2</v>
      </c>
      <c r="AF704" s="44">
        <f>ROUND(((Z704+AA704+AB704)),4)</f>
        <v>8.6800000000000002E-2</v>
      </c>
    </row>
    <row r="705" spans="1:32" ht="12.95" customHeight="1" x14ac:dyDescent="0.25">
      <c r="A705" s="63"/>
      <c r="B705" s="46" t="s">
        <v>211</v>
      </c>
      <c r="C705" s="46">
        <v>5</v>
      </c>
      <c r="D705" s="45" t="s">
        <v>209</v>
      </c>
      <c r="E705" s="45">
        <v>1</v>
      </c>
      <c r="F705" s="45">
        <v>1</v>
      </c>
      <c r="G705" s="45">
        <v>6</v>
      </c>
      <c r="H705" s="45">
        <v>60</v>
      </c>
      <c r="I705" s="45">
        <f>(8-1-0.75*2)*60*F705-K705-8*0.12*60</f>
        <v>57.900000000000006</v>
      </c>
      <c r="J705" s="45">
        <v>14</v>
      </c>
      <c r="K705" s="45">
        <f>(8-1-0.75*2)*0.65*60*F705</f>
        <v>214.5</v>
      </c>
      <c r="L705" s="48">
        <v>4.01</v>
      </c>
      <c r="M705" s="48">
        <v>4.01</v>
      </c>
      <c r="N705" s="45">
        <v>10</v>
      </c>
      <c r="O705" s="45">
        <f>E705/F705</f>
        <v>1</v>
      </c>
      <c r="P705" s="45">
        <v>150</v>
      </c>
      <c r="Q705" s="45">
        <v>60</v>
      </c>
      <c r="R705" s="47">
        <v>30</v>
      </c>
      <c r="S705" s="47">
        <v>0.78</v>
      </c>
      <c r="T705" s="48">
        <f>ROUND((L705*I705+1.3*L705*K705+S705*H705),4)</f>
        <v>1397.1675</v>
      </c>
      <c r="U705" s="48">
        <f>ROUND((M705*I705+1.3*M705*K705+S705*H705),4)</f>
        <v>1397.1675</v>
      </c>
      <c r="V705" s="48">
        <f>ROUND((M705*I705+1.3*M705*K705+S705*H705),4)</f>
        <v>1397.1675</v>
      </c>
      <c r="W705" s="48">
        <f>ROUND((L705*J705+1.3*L705*N705+S705*G705),4)</f>
        <v>112.95</v>
      </c>
      <c r="X705" s="48">
        <f>ROUND((M705*J705+1.3*M705*N705+S705*G705),4)</f>
        <v>112.95</v>
      </c>
      <c r="Y705" s="48">
        <f>ROUND((M705*J705+1.3*M705*N705+S705*G705),4)</f>
        <v>112.95</v>
      </c>
      <c r="Z705" s="49">
        <f>ROUND((P705*T705*F705*O705/1000000),4)</f>
        <v>0.20960000000000001</v>
      </c>
      <c r="AA705" s="49">
        <f>ROUND((Q705*U705*F705*O705/1000000),4)</f>
        <v>8.3799999999999999E-2</v>
      </c>
      <c r="AB705" s="49">
        <f>ROUND((R705*V705*F705*O705/1000000),4)</f>
        <v>4.19E-2</v>
      </c>
      <c r="AC705" s="50" t="s">
        <v>200</v>
      </c>
      <c r="AD705" s="51" t="s">
        <v>153</v>
      </c>
      <c r="AE705" s="44">
        <f>ROUND((((X705*E705)/1800)*0.8),4)</f>
        <v>5.0200000000000002E-2</v>
      </c>
      <c r="AF705" s="44">
        <f>ROUND(((Z705+AA705+AB705)*0.8),4)</f>
        <v>0.26819999999999999</v>
      </c>
    </row>
    <row r="706" spans="1:32" ht="12.95" customHeight="1" x14ac:dyDescent="0.25">
      <c r="A706" s="63"/>
      <c r="B706" s="73" t="s">
        <v>212</v>
      </c>
      <c r="C706" s="53"/>
      <c r="D706" s="52"/>
      <c r="E706" s="52"/>
      <c r="F706" s="52"/>
      <c r="G706" s="52"/>
      <c r="H706" s="52"/>
      <c r="I706" s="52"/>
      <c r="J706" s="52"/>
      <c r="K706" s="52"/>
      <c r="L706" s="56"/>
      <c r="M706" s="56"/>
      <c r="N706" s="52"/>
      <c r="O706" s="52"/>
      <c r="P706" s="63"/>
      <c r="Q706" s="63"/>
      <c r="R706" s="63"/>
      <c r="S706" s="57"/>
      <c r="T706" s="54"/>
      <c r="U706" s="54"/>
      <c r="V706" s="54"/>
      <c r="W706" s="54"/>
      <c r="X706" s="54"/>
      <c r="Y706" s="54"/>
      <c r="Z706" s="54"/>
      <c r="AA706" s="54"/>
      <c r="AB706" s="54"/>
      <c r="AC706" s="50" t="s">
        <v>201</v>
      </c>
      <c r="AD706" s="51" t="s">
        <v>202</v>
      </c>
      <c r="AE706" s="44">
        <f>ROUND((((X705*E705)/1800)*0.13),4)</f>
        <v>8.2000000000000007E-3</v>
      </c>
      <c r="AF706" s="44">
        <f>ROUND(((Z705+AA705+AB705)*0.13),4)</f>
        <v>4.36E-2</v>
      </c>
    </row>
    <row r="707" spans="1:32" ht="12.95" customHeight="1" x14ac:dyDescent="0.25">
      <c r="A707" s="63"/>
      <c r="B707" s="64"/>
      <c r="C707" s="58"/>
      <c r="D707" s="55"/>
      <c r="E707" s="52"/>
      <c r="F707" s="52"/>
      <c r="G707" s="52"/>
      <c r="H707" s="52"/>
      <c r="I707" s="52"/>
      <c r="J707" s="52"/>
      <c r="K707" s="52"/>
      <c r="L707" s="59">
        <v>0.31</v>
      </c>
      <c r="M707" s="59">
        <v>0.38</v>
      </c>
      <c r="N707" s="52"/>
      <c r="O707" s="52"/>
      <c r="P707" s="63"/>
      <c r="Q707" s="63"/>
      <c r="R707" s="63"/>
      <c r="S707" s="60">
        <v>0.16</v>
      </c>
      <c r="T707" s="48">
        <f>ROUND((L707*I705+1.3*L707*K705+S707*H705),4)</f>
        <v>113.99250000000001</v>
      </c>
      <c r="U707" s="48">
        <f>ROUND((M707*0.9*I705+1.3*M707*0.9*K705+S707*H705),4)</f>
        <v>124.7685</v>
      </c>
      <c r="V707" s="48">
        <f>ROUND((M707*I705+1.3*M707*K705+S707*H705),4)</f>
        <v>137.565</v>
      </c>
      <c r="W707" s="48">
        <f>ROUND((L707*J705+1.3*L707*N705+S707*G705),4)</f>
        <v>9.33</v>
      </c>
      <c r="X707" s="48">
        <f>ROUND((M707*0.9*J705+1.3*M707*0.9*N705+S707*G705),4)</f>
        <v>10.194000000000001</v>
      </c>
      <c r="Y707" s="48">
        <f>ROUND((M707*J705+1.3*M707*N705+S707*G705),4)</f>
        <v>11.22</v>
      </c>
      <c r="Z707" s="49">
        <f>ROUND((P705*T707*F705*O705/1000000),4)</f>
        <v>1.7100000000000001E-2</v>
      </c>
      <c r="AA707" s="49">
        <f>ROUND((Q705*U707*F705*O705/1000000),4)</f>
        <v>7.4999999999999997E-3</v>
      </c>
      <c r="AB707" s="49">
        <f>ROUND((R705*V707*F705*O705/1000000),4)</f>
        <v>4.1000000000000003E-3</v>
      </c>
      <c r="AC707" s="50" t="s">
        <v>203</v>
      </c>
      <c r="AD707" s="51" t="s">
        <v>204</v>
      </c>
      <c r="AE707" s="44">
        <f>ROUND((((X707*E705)/1800)),4)</f>
        <v>5.7000000000000002E-3</v>
      </c>
      <c r="AF707" s="44">
        <f>ROUND(((Z707+AA707+AB707)),5)</f>
        <v>2.87E-2</v>
      </c>
    </row>
    <row r="708" spans="1:32" ht="12.95" customHeight="1" x14ac:dyDescent="0.25">
      <c r="A708" s="63"/>
      <c r="B708" s="64"/>
      <c r="C708" s="53"/>
      <c r="D708" s="52"/>
      <c r="E708" s="52"/>
      <c r="F708" s="52"/>
      <c r="G708" s="52"/>
      <c r="H708" s="52"/>
      <c r="I708" s="52"/>
      <c r="J708" s="52"/>
      <c r="K708" s="52"/>
      <c r="L708" s="59">
        <v>0.71</v>
      </c>
      <c r="M708" s="59">
        <v>0.85</v>
      </c>
      <c r="N708" s="52"/>
      <c r="O708" s="52"/>
      <c r="P708" s="63"/>
      <c r="Q708" s="63"/>
      <c r="R708" s="63"/>
      <c r="S708" s="61">
        <v>0.49</v>
      </c>
      <c r="T708" s="48">
        <f>ROUND((L708*I705+1.3*L708*K705+S708*H705),4)</f>
        <v>268.49250000000001</v>
      </c>
      <c r="U708" s="48">
        <f>ROUND((M708*0.9*I705+1.3*M708*0.9*K705+S708*H705),4)</f>
        <v>287.0138</v>
      </c>
      <c r="V708" s="48">
        <f>ROUND((M708*I705+1.3*M708*K705+S708*H705),4)</f>
        <v>315.63749999999999</v>
      </c>
      <c r="W708" s="48">
        <f>ROUND((L708*J705+1.3*L708*N705+S708*G705),4)</f>
        <v>22.11</v>
      </c>
      <c r="X708" s="48">
        <f>ROUND((M708*0.9*J705+1.3*M708*0.9*N705+S708*G705),4)</f>
        <v>23.594999999999999</v>
      </c>
      <c r="Y708" s="48">
        <f>ROUND((M708*J705+1.3*N705+S708*G705),4)</f>
        <v>27.84</v>
      </c>
      <c r="Z708" s="49">
        <f>ROUND((P705*T708*F705*O705/1000000),4)</f>
        <v>4.0300000000000002E-2</v>
      </c>
      <c r="AA708" s="49">
        <f>ROUND((Q705*U708*F705*O705/1000000),4)</f>
        <v>1.72E-2</v>
      </c>
      <c r="AB708" s="49">
        <f>ROUND((R705*V708*F705*O705/1000000),4)</f>
        <v>9.4999999999999998E-3</v>
      </c>
      <c r="AC708" s="50" t="s">
        <v>205</v>
      </c>
      <c r="AD708" s="51" t="s">
        <v>206</v>
      </c>
      <c r="AE708" s="44">
        <f>ROUND((((X708*E705)/1800)),4)</f>
        <v>1.3100000000000001E-2</v>
      </c>
      <c r="AF708" s="44">
        <f>ROUND(((Z708+AA708+AB708)),4)</f>
        <v>6.7000000000000004E-2</v>
      </c>
    </row>
    <row r="709" spans="1:32" ht="12.95" customHeight="1" x14ac:dyDescent="0.25">
      <c r="A709" s="63"/>
      <c r="B709" s="64"/>
      <c r="C709" s="53"/>
      <c r="D709" s="52"/>
      <c r="E709" s="52"/>
      <c r="F709" s="52"/>
      <c r="G709" s="52"/>
      <c r="H709" s="52"/>
      <c r="I709" s="52"/>
      <c r="J709" s="52"/>
      <c r="K709" s="52"/>
      <c r="L709" s="59">
        <v>0.45</v>
      </c>
      <c r="M709" s="59">
        <v>0.67</v>
      </c>
      <c r="N709" s="52"/>
      <c r="O709" s="52"/>
      <c r="P709" s="63"/>
      <c r="Q709" s="63"/>
      <c r="R709" s="63"/>
      <c r="S709" s="61">
        <v>0.1</v>
      </c>
      <c r="T709" s="48">
        <f>ROUND((L709*I705+1.3*L709*K705+S709*H705),4)</f>
        <v>157.53749999999999</v>
      </c>
      <c r="U709" s="48">
        <f>ROUND((M709*0.9*I705+1.3*M709*0.9*K705+S709*H705),4)</f>
        <v>209.06030000000001</v>
      </c>
      <c r="V709" s="48">
        <f>ROUND((M709*I705+1.3*M709*K705+S709*H705),4)</f>
        <v>231.6225</v>
      </c>
      <c r="W709" s="48">
        <f>ROUND((L709*J705+1.3*L709*N705+S709*G705),4)</f>
        <v>12.75</v>
      </c>
      <c r="X709" s="48">
        <f>ROUND((M709*0.9*J705+1.3*M709*0.9*N705+S709*G705),4)</f>
        <v>16.881</v>
      </c>
      <c r="Y709" s="48">
        <f>ROUND((M709*J705+1.3*M709*N705+S709*G705),4)</f>
        <v>18.690000000000001</v>
      </c>
      <c r="Z709" s="49">
        <f>ROUND((P705*T709*F705*O705/1000000),4)</f>
        <v>2.3599999999999999E-2</v>
      </c>
      <c r="AA709" s="49">
        <f>ROUND((Q705*U709*F705*O705/1000000),4)</f>
        <v>1.2500000000000001E-2</v>
      </c>
      <c r="AB709" s="49">
        <f>ROUND((R705*V709*F705*O705/1000000),4)</f>
        <v>6.8999999999999999E-3</v>
      </c>
      <c r="AC709" s="50" t="s">
        <v>250</v>
      </c>
      <c r="AD709" s="51" t="s">
        <v>208</v>
      </c>
      <c r="AE709" s="44">
        <f>ROUND((((X709*E705)/1800)),4)</f>
        <v>9.4000000000000004E-3</v>
      </c>
      <c r="AF709" s="44">
        <f>ROUND(((Z709+AA709+AB709)),4)</f>
        <v>4.2999999999999997E-2</v>
      </c>
    </row>
    <row r="710" spans="1:32" ht="12.95" customHeight="1" x14ac:dyDescent="0.25">
      <c r="A710" s="63"/>
      <c r="B710" s="72"/>
      <c r="C710" s="62"/>
      <c r="D710" s="56"/>
      <c r="E710" s="56"/>
      <c r="F710" s="56"/>
      <c r="G710" s="56"/>
      <c r="H710" s="56"/>
      <c r="I710" s="56"/>
      <c r="J710" s="56"/>
      <c r="K710" s="56"/>
      <c r="L710" s="59">
        <v>2.09</v>
      </c>
      <c r="M710" s="59">
        <v>2.5499999999999998</v>
      </c>
      <c r="N710" s="56"/>
      <c r="O710" s="56"/>
      <c r="P710" s="66"/>
      <c r="Q710" s="66"/>
      <c r="R710" s="66"/>
      <c r="S710" s="61">
        <v>3.91</v>
      </c>
      <c r="T710" s="48">
        <f>ROUND((L710*I705+1.3*L710*K705+S710*H705),4)</f>
        <v>938.40750000000003</v>
      </c>
      <c r="U710" s="48">
        <f>ROUND((M710*0.9*I705+1.3*M710*0.9*K705+S710*H705),4)</f>
        <v>1007.4413</v>
      </c>
      <c r="V710" s="48">
        <f>ROUND((M710*I705+1.3*M710*K705+S710*H705),4)</f>
        <v>1093.3125</v>
      </c>
      <c r="W710" s="48">
        <f>ROUND((L710*J705+1.3*L710*N705+S710*G705),4)</f>
        <v>79.89</v>
      </c>
      <c r="X710" s="48">
        <f>ROUND((M710*0.9*J705+1.3*M710*0.9*N705+S710*G705),4)</f>
        <v>85.424999999999997</v>
      </c>
      <c r="Y710" s="48">
        <f>ROUND((M710*J705+1.3*M710*N705+S710*G705),4)</f>
        <v>92.31</v>
      </c>
      <c r="Z710" s="49">
        <f>ROUND((P705*T710*F705*O705/1000000),4)</f>
        <v>0.14080000000000001</v>
      </c>
      <c r="AA710" s="49">
        <f>ROUND((Q705*U710*F705*O705/1000000),4)</f>
        <v>6.0400000000000002E-2</v>
      </c>
      <c r="AB710" s="49">
        <f>ROUND((R705*V710*F705*O705/1000000),4)</f>
        <v>3.2800000000000003E-2</v>
      </c>
      <c r="AC710" s="50" t="s">
        <v>170</v>
      </c>
      <c r="AD710" s="51" t="s">
        <v>162</v>
      </c>
      <c r="AE710" s="44">
        <f>ROUND((((X710*E705)/1800)),4)</f>
        <v>4.7500000000000001E-2</v>
      </c>
      <c r="AF710" s="44">
        <f>ROUND(((Z710+AA710+AB710)),4)</f>
        <v>0.23400000000000001</v>
      </c>
    </row>
    <row r="711" spans="1:32" ht="12.95" customHeight="1" x14ac:dyDescent="0.25">
      <c r="A711" s="52"/>
      <c r="B711" s="46" t="s">
        <v>211</v>
      </c>
      <c r="C711" s="46">
        <v>6</v>
      </c>
      <c r="D711" s="45" t="s">
        <v>210</v>
      </c>
      <c r="E711" s="45">
        <v>1</v>
      </c>
      <c r="F711" s="45">
        <v>1</v>
      </c>
      <c r="G711" s="45">
        <v>6</v>
      </c>
      <c r="H711" s="45">
        <v>60</v>
      </c>
      <c r="I711" s="45">
        <f>(8-1-0.75*2)*60*F711-K711-8*0.12*60</f>
        <v>57.900000000000006</v>
      </c>
      <c r="J711" s="45">
        <v>14</v>
      </c>
      <c r="K711" s="45">
        <f>(8-1-0.75*2)*0.65*60*F711</f>
        <v>214.5</v>
      </c>
      <c r="L711" s="48">
        <v>6.47</v>
      </c>
      <c r="M711" s="48">
        <v>6.47</v>
      </c>
      <c r="N711" s="45">
        <v>10</v>
      </c>
      <c r="O711" s="45">
        <f>E711/F711</f>
        <v>1</v>
      </c>
      <c r="P711" s="45">
        <v>150</v>
      </c>
      <c r="Q711" s="45">
        <v>60</v>
      </c>
      <c r="R711" s="47">
        <v>30</v>
      </c>
      <c r="S711" s="47">
        <v>1.27</v>
      </c>
      <c r="T711" s="48">
        <f>ROUND((L711*I711+1.3*L711*K711+S711*H711),4)</f>
        <v>2254.9724999999999</v>
      </c>
      <c r="U711" s="48">
        <f>ROUND((M711*I711+1.3*M711*K711+S711*H711),4)</f>
        <v>2254.9724999999999</v>
      </c>
      <c r="V711" s="48">
        <f>ROUND((M711*I711+1.3*M711*K711+S711*H711),4)</f>
        <v>2254.9724999999999</v>
      </c>
      <c r="W711" s="48">
        <f>ROUND((L711*J711+1.3*L711*N711+S711*G711),4)</f>
        <v>182.31</v>
      </c>
      <c r="X711" s="48">
        <f>ROUND((M711*J711+1.3*M711*N711+S711*G711),4)</f>
        <v>182.31</v>
      </c>
      <c r="Y711" s="48">
        <f>ROUND((M711*J711+1.3*M711*N711+S711*G711),4)</f>
        <v>182.31</v>
      </c>
      <c r="Z711" s="49">
        <f>ROUND((P711*T711*F711*O711/1000000),4)</f>
        <v>0.3382</v>
      </c>
      <c r="AA711" s="49">
        <f>ROUND((Q711*U711*F711*O711/1000000),4)</f>
        <v>0.1353</v>
      </c>
      <c r="AB711" s="49">
        <f>ROUND((R711*V711*F711*O711/1000000),4)</f>
        <v>6.7599999999999993E-2</v>
      </c>
      <c r="AC711" s="50" t="s">
        <v>200</v>
      </c>
      <c r="AD711" s="51" t="s">
        <v>153</v>
      </c>
      <c r="AE711" s="44">
        <f>ROUND((((X711*E711)/1800)*0.8),4)</f>
        <v>8.1000000000000003E-2</v>
      </c>
      <c r="AF711" s="44">
        <f>ROUND(((Z711+AA711+AB711)*0.8),4)</f>
        <v>0.43290000000000001</v>
      </c>
    </row>
    <row r="712" spans="1:32" ht="12.95" customHeight="1" x14ac:dyDescent="0.25">
      <c r="A712" s="52"/>
      <c r="B712" s="53" t="s">
        <v>213</v>
      </c>
      <c r="C712" s="52"/>
      <c r="D712" s="52"/>
      <c r="E712" s="63"/>
      <c r="F712" s="52"/>
      <c r="G712" s="52"/>
      <c r="H712" s="52"/>
      <c r="I712" s="52"/>
      <c r="J712" s="52"/>
      <c r="K712" s="52"/>
      <c r="L712" s="56"/>
      <c r="M712" s="56"/>
      <c r="N712" s="52"/>
      <c r="O712" s="52"/>
      <c r="P712" s="63"/>
      <c r="Q712" s="63"/>
      <c r="R712" s="63"/>
      <c r="S712" s="57"/>
      <c r="T712" s="54"/>
      <c r="U712" s="54"/>
      <c r="V712" s="54"/>
      <c r="W712" s="54"/>
      <c r="X712" s="54"/>
      <c r="Y712" s="54"/>
      <c r="Z712" s="54"/>
      <c r="AA712" s="54"/>
      <c r="AB712" s="54"/>
      <c r="AC712" s="50" t="s">
        <v>201</v>
      </c>
      <c r="AD712" s="51" t="s">
        <v>202</v>
      </c>
      <c r="AE712" s="44">
        <f>ROUND((((X711*E711)/1800)*0.13),4)</f>
        <v>1.32E-2</v>
      </c>
      <c r="AF712" s="44">
        <f>ROUND(((Z711+AA711+AB711)*0.13),4)</f>
        <v>7.0300000000000001E-2</v>
      </c>
    </row>
    <row r="713" spans="1:32" ht="12.95" customHeight="1" x14ac:dyDescent="0.25">
      <c r="A713" s="52"/>
      <c r="B713" s="98"/>
      <c r="C713" s="55"/>
      <c r="D713" s="55"/>
      <c r="E713" s="63"/>
      <c r="F713" s="63"/>
      <c r="G713" s="52"/>
      <c r="H713" s="52"/>
      <c r="I713" s="52"/>
      <c r="J713" s="52"/>
      <c r="K713" s="52"/>
      <c r="L713" s="59">
        <v>0.51</v>
      </c>
      <c r="M713" s="59">
        <v>0.63</v>
      </c>
      <c r="N713" s="52"/>
      <c r="O713" s="52"/>
      <c r="P713" s="63"/>
      <c r="Q713" s="63"/>
      <c r="R713" s="63"/>
      <c r="S713" s="60">
        <v>0.25</v>
      </c>
      <c r="T713" s="48">
        <f>ROUND((L713*I711+1.3*L713*K711+S713*H711),4)</f>
        <v>186.74250000000001</v>
      </c>
      <c r="U713" s="48">
        <f>ROUND((M713*0.9*I711+1.3*M713*0.9*K711+S713*H711),4)</f>
        <v>205.93729999999999</v>
      </c>
      <c r="V713" s="48">
        <f>ROUND((M713*I711+1.3*M713*K711+S713*H711),4)</f>
        <v>227.1525</v>
      </c>
      <c r="W713" s="48">
        <f>ROUND((L713*J711+1.3*L713*N711+S713*G711),4)</f>
        <v>15.27</v>
      </c>
      <c r="X713" s="48">
        <f>ROUND((M713*0.9*J711+1.3*M713*0.9*N711+S713*G711),4)</f>
        <v>16.809000000000001</v>
      </c>
      <c r="Y713" s="48">
        <f>ROUND((M713*J711+1.3*M713*N711+S713*G711),4)</f>
        <v>18.510000000000002</v>
      </c>
      <c r="Z713" s="49">
        <f>ROUND((P711*T713*F711*O711/1000000),4)</f>
        <v>2.8000000000000001E-2</v>
      </c>
      <c r="AA713" s="49">
        <f>ROUND((Q711*U713*F711*O711/1000000),4)</f>
        <v>1.24E-2</v>
      </c>
      <c r="AB713" s="49">
        <f>ROUND((R711*V713*F711*O711/1000000),4)</f>
        <v>6.7999999999999996E-3</v>
      </c>
      <c r="AC713" s="50" t="s">
        <v>203</v>
      </c>
      <c r="AD713" s="51" t="s">
        <v>204</v>
      </c>
      <c r="AE713" s="44">
        <f>ROUND((((X713*E711)/1800)),4)</f>
        <v>9.2999999999999992E-3</v>
      </c>
      <c r="AF713" s="44">
        <f>ROUND(((Z713+AA713+AB713)),5)</f>
        <v>4.7199999999999999E-2</v>
      </c>
    </row>
    <row r="714" spans="1:32" ht="12.95" customHeight="1" x14ac:dyDescent="0.25">
      <c r="A714" s="52"/>
      <c r="B714" s="53"/>
      <c r="C714" s="52"/>
      <c r="D714" s="52"/>
      <c r="E714" s="63"/>
      <c r="F714" s="63"/>
      <c r="G714" s="52"/>
      <c r="H714" s="52"/>
      <c r="I714" s="52"/>
      <c r="J714" s="52"/>
      <c r="K714" s="52"/>
      <c r="L714" s="59">
        <v>1.1399999999999999</v>
      </c>
      <c r="M714" s="59">
        <v>1.37</v>
      </c>
      <c r="N714" s="52"/>
      <c r="O714" s="52"/>
      <c r="P714" s="63"/>
      <c r="Q714" s="63"/>
      <c r="R714" s="63"/>
      <c r="S714" s="61">
        <v>0.79</v>
      </c>
      <c r="T714" s="48">
        <f>ROUND((L714*I711+1.3*L714*K711+S714*H711),4)</f>
        <v>431.29500000000002</v>
      </c>
      <c r="U714" s="48">
        <f>ROUND((M714*0.9*I711+1.3*M714*0.9*K711+S714*H711),4)</f>
        <v>462.61279999999999</v>
      </c>
      <c r="V714" s="48">
        <f>ROUND((M714*I711+1.3*M714*K711+S714*H711),4)</f>
        <v>508.7475</v>
      </c>
      <c r="W714" s="48">
        <f>ROUND((L714*J711+1.3*L714*N711+S714*G711),4)</f>
        <v>35.520000000000003</v>
      </c>
      <c r="X714" s="48">
        <f>ROUND((M714*0.9*J711+1.3*M714*0.9*N711+S714*G711),4)</f>
        <v>38.030999999999999</v>
      </c>
      <c r="Y714" s="48">
        <f>ROUND((M714*J711+1.3*N711+S714*G711),4)</f>
        <v>36.92</v>
      </c>
      <c r="Z714" s="49">
        <f>ROUND((P711*T714*F711*O711/1000000),4)</f>
        <v>6.4699999999999994E-2</v>
      </c>
      <c r="AA714" s="49">
        <f>ROUND((Q711*U714*F711*O711/1000000),4)</f>
        <v>2.7799999999999998E-2</v>
      </c>
      <c r="AB714" s="49">
        <f>ROUND((R711*V714*F711*O711/1000000),4)</f>
        <v>1.5299999999999999E-2</v>
      </c>
      <c r="AC714" s="50" t="s">
        <v>205</v>
      </c>
      <c r="AD714" s="51" t="s">
        <v>206</v>
      </c>
      <c r="AE714" s="44">
        <f>ROUND((((X714*E711)/1800)),4)</f>
        <v>2.1100000000000001E-2</v>
      </c>
      <c r="AF714" s="44">
        <f>ROUND(((Z714+AA714+AB714)),4)</f>
        <v>0.10780000000000001</v>
      </c>
    </row>
    <row r="715" spans="1:32" ht="12.95" customHeight="1" x14ac:dyDescent="0.25">
      <c r="A715" s="52"/>
      <c r="B715" s="53"/>
      <c r="C715" s="52"/>
      <c r="D715" s="52"/>
      <c r="E715" s="63"/>
      <c r="F715" s="63"/>
      <c r="G715" s="52"/>
      <c r="H715" s="52"/>
      <c r="I715" s="52"/>
      <c r="J715" s="52"/>
      <c r="K715" s="52"/>
      <c r="L715" s="59">
        <v>0.72</v>
      </c>
      <c r="M715" s="59">
        <v>1.08</v>
      </c>
      <c r="N715" s="52"/>
      <c r="O715" s="52"/>
      <c r="P715" s="63"/>
      <c r="Q715" s="63"/>
      <c r="R715" s="63"/>
      <c r="S715" s="61">
        <v>0.17</v>
      </c>
      <c r="T715" s="48">
        <f>ROUND((L715*I711+1.3*L715*K711+S715*H711),4)</f>
        <v>252.66</v>
      </c>
      <c r="U715" s="48">
        <f>ROUND((M715*0.9*I711+1.3*M715*0.9*K711+S715*H711),4)</f>
        <v>337.52100000000002</v>
      </c>
      <c r="V715" s="48">
        <f>ROUND((M715*I711+1.3*M715*K711+S715*H711),4)</f>
        <v>373.89</v>
      </c>
      <c r="W715" s="48">
        <f>ROUND((L715*J711+1.3*L715*N711+S715*G711),4)</f>
        <v>20.46</v>
      </c>
      <c r="X715" s="48">
        <f>ROUND((M715*0.9*J711+1.3*M715*0.9*N711+S715*G711),4)</f>
        <v>27.263999999999999</v>
      </c>
      <c r="Y715" s="48">
        <f>ROUND((M715*J711+1.3*M715*N711+S715*G711),4)</f>
        <v>30.18</v>
      </c>
      <c r="Z715" s="49">
        <f>ROUND((P711*T715*F711*O711/1000000),4)</f>
        <v>3.7900000000000003E-2</v>
      </c>
      <c r="AA715" s="49">
        <f>ROUND((Q711*U715*F711*O711/1000000),4)</f>
        <v>2.0299999999999999E-2</v>
      </c>
      <c r="AB715" s="49">
        <f>ROUND((R711*V715*F711*O711/1000000),4)</f>
        <v>1.12E-2</v>
      </c>
      <c r="AC715" s="50" t="s">
        <v>250</v>
      </c>
      <c r="AD715" s="51" t="s">
        <v>208</v>
      </c>
      <c r="AE715" s="44">
        <f>ROUND((((X715*E711)/1800)),4)</f>
        <v>1.5100000000000001E-2</v>
      </c>
      <c r="AF715" s="44">
        <f>ROUND(((Z715+AA715+AB715)),4)</f>
        <v>6.9400000000000003E-2</v>
      </c>
    </row>
    <row r="716" spans="1:32" ht="12.95" customHeight="1" x14ac:dyDescent="0.25">
      <c r="A716" s="52"/>
      <c r="B716" s="62"/>
      <c r="C716" s="56"/>
      <c r="D716" s="56"/>
      <c r="E716" s="66"/>
      <c r="F716" s="66"/>
      <c r="G716" s="56"/>
      <c r="H716" s="56"/>
      <c r="I716" s="56"/>
      <c r="J716" s="56"/>
      <c r="K716" s="56"/>
      <c r="L716" s="59">
        <v>3.37</v>
      </c>
      <c r="M716" s="59">
        <v>4.1100000000000003</v>
      </c>
      <c r="N716" s="56"/>
      <c r="O716" s="56"/>
      <c r="P716" s="66"/>
      <c r="Q716" s="66"/>
      <c r="R716" s="66"/>
      <c r="S716" s="61">
        <v>6.31</v>
      </c>
      <c r="T716" s="48">
        <f>ROUND((L716*I711+1.3*L716*K711+S716*H711),4)</f>
        <v>1513.4475</v>
      </c>
      <c r="U716" s="48">
        <f>ROUND((M716*0.9*I711+1.3*M716*0.9*K711+S716*H711),4)</f>
        <v>1624.2383</v>
      </c>
      <c r="V716" s="48">
        <f>ROUND((M716*I711+1.3*M716*K711+S716*H711),4)</f>
        <v>1762.6424999999999</v>
      </c>
      <c r="W716" s="48">
        <f>ROUND((L716*J711+1.3*L716*N711+S716*G711),4)</f>
        <v>128.85</v>
      </c>
      <c r="X716" s="48">
        <f>ROUND((M716*0.9*J711+1.3*M716*0.9*N711+S716*G711),4)</f>
        <v>137.733</v>
      </c>
      <c r="Y716" s="48">
        <f>ROUND((M716*J711+1.3*M716*N711+S716*G711),4)</f>
        <v>148.83000000000001</v>
      </c>
      <c r="Z716" s="49">
        <f>ROUND((P711*T716*F711*O711/1000000),4)</f>
        <v>0.22700000000000001</v>
      </c>
      <c r="AA716" s="49">
        <f>ROUND((Q711*U716*F711*O711/1000000),4)</f>
        <v>9.7500000000000003E-2</v>
      </c>
      <c r="AB716" s="49">
        <f>ROUND((R711*V716*F711*O711/1000000),4)</f>
        <v>5.2900000000000003E-2</v>
      </c>
      <c r="AC716" s="50" t="s">
        <v>170</v>
      </c>
      <c r="AD716" s="51" t="s">
        <v>162</v>
      </c>
      <c r="AE716" s="44">
        <f>ROUND((((X716*E711)/1800)),4)</f>
        <v>7.6499999999999999E-2</v>
      </c>
      <c r="AF716" s="44">
        <f>ROUND(((Z716+AA716+AB716)),4)</f>
        <v>0.37740000000000001</v>
      </c>
    </row>
    <row r="717" spans="1:32" ht="12.95" customHeight="1" x14ac:dyDescent="0.25">
      <c r="A717" s="52"/>
      <c r="B717" s="67" t="s">
        <v>214</v>
      </c>
      <c r="C717" s="46">
        <v>6</v>
      </c>
      <c r="D717" s="45" t="s">
        <v>210</v>
      </c>
      <c r="E717" s="45">
        <v>1</v>
      </c>
      <c r="F717" s="45">
        <v>1</v>
      </c>
      <c r="G717" s="45">
        <v>6</v>
      </c>
      <c r="H717" s="45">
        <v>60</v>
      </c>
      <c r="I717" s="45">
        <f>(8-1-0.75*2)*60*F717-K717-8*0.12*60</f>
        <v>57.900000000000006</v>
      </c>
      <c r="J717" s="45">
        <v>14</v>
      </c>
      <c r="K717" s="45">
        <f>(8-1-0.75*2)*0.65*60*F717</f>
        <v>214.5</v>
      </c>
      <c r="L717" s="48">
        <v>6.47</v>
      </c>
      <c r="M717" s="48">
        <v>6.47</v>
      </c>
      <c r="N717" s="45">
        <v>10</v>
      </c>
      <c r="O717" s="45">
        <f>E717/F717</f>
        <v>1</v>
      </c>
      <c r="P717" s="45">
        <v>150</v>
      </c>
      <c r="Q717" s="45">
        <v>30</v>
      </c>
      <c r="R717" s="47">
        <v>30</v>
      </c>
      <c r="S717" s="47">
        <v>1.27</v>
      </c>
      <c r="T717" s="48">
        <f>ROUND((L717*I717+1.3*L717*K717+S717*H717),4)</f>
        <v>2254.9724999999999</v>
      </c>
      <c r="U717" s="48">
        <f>ROUND((M717*I717+1.3*M717*K717+S717*H717),4)</f>
        <v>2254.9724999999999</v>
      </c>
      <c r="V717" s="48">
        <f>ROUND((M717*I717+1.3*M717*K717+S717*H717),4)</f>
        <v>2254.9724999999999</v>
      </c>
      <c r="W717" s="48">
        <f>ROUND((L717*J717+1.3*L717*N717+S717*G717),4)</f>
        <v>182.31</v>
      </c>
      <c r="X717" s="48">
        <f>ROUND((M717*J717+1.3*M717*N717+S717*G717),4)</f>
        <v>182.31</v>
      </c>
      <c r="Y717" s="48">
        <f>ROUND((M717*J717+1.3*M717*N717+S717*G717),4)</f>
        <v>182.31</v>
      </c>
      <c r="Z717" s="49">
        <f>ROUND((P717*T717*F717*O717/1000000),4)</f>
        <v>0.3382</v>
      </c>
      <c r="AA717" s="49">
        <f>ROUND((Q717*U717*F717*O717/1000000),4)</f>
        <v>6.7599999999999993E-2</v>
      </c>
      <c r="AB717" s="49">
        <f>ROUND((R717*V717*F717*O717/1000000),4)</f>
        <v>6.7599999999999993E-2</v>
      </c>
      <c r="AC717" s="50" t="s">
        <v>200</v>
      </c>
      <c r="AD717" s="51" t="s">
        <v>153</v>
      </c>
      <c r="AE717" s="44">
        <f>ROUND((((X717*E717)/1800)*0.8),4)</f>
        <v>8.1000000000000003E-2</v>
      </c>
      <c r="AF717" s="44">
        <f>ROUND(((Z717+AA717+AB717)*0.8),4)</f>
        <v>0.37869999999999998</v>
      </c>
    </row>
    <row r="718" spans="1:32" ht="12.95" customHeight="1" x14ac:dyDescent="0.25">
      <c r="A718" s="52"/>
      <c r="B718" s="53" t="s">
        <v>215</v>
      </c>
      <c r="C718" s="52"/>
      <c r="D718" s="52"/>
      <c r="E718" s="52"/>
      <c r="F718" s="52"/>
      <c r="G718" s="52"/>
      <c r="H718" s="52"/>
      <c r="I718" s="52"/>
      <c r="J718" s="52"/>
      <c r="K718" s="52"/>
      <c r="L718" s="56"/>
      <c r="M718" s="56"/>
      <c r="N718" s="52"/>
      <c r="O718" s="52"/>
      <c r="P718" s="63"/>
      <c r="Q718" s="63"/>
      <c r="R718" s="52"/>
      <c r="S718" s="57"/>
      <c r="T718" s="54"/>
      <c r="U718" s="54"/>
      <c r="V718" s="54"/>
      <c r="W718" s="54"/>
      <c r="X718" s="54"/>
      <c r="Y718" s="54"/>
      <c r="Z718" s="54"/>
      <c r="AA718" s="54"/>
      <c r="AB718" s="54"/>
      <c r="AC718" s="50" t="s">
        <v>201</v>
      </c>
      <c r="AD718" s="51" t="s">
        <v>202</v>
      </c>
      <c r="AE718" s="44">
        <f>ROUND((((X717*E717)/1800)*0.13),4)</f>
        <v>1.32E-2</v>
      </c>
      <c r="AF718" s="44">
        <f>ROUND(((Z717+AA717+AB717)*0.13),4)</f>
        <v>6.1499999999999999E-2</v>
      </c>
    </row>
    <row r="719" spans="1:32" ht="12.95" customHeight="1" x14ac:dyDescent="0.25">
      <c r="A719" s="52"/>
      <c r="B719" s="88"/>
      <c r="C719" s="55"/>
      <c r="D719" s="55"/>
      <c r="E719" s="52"/>
      <c r="F719" s="52"/>
      <c r="G719" s="52"/>
      <c r="H719" s="52"/>
      <c r="I719" s="52"/>
      <c r="J719" s="52"/>
      <c r="K719" s="52"/>
      <c r="L719" s="59">
        <v>0.51</v>
      </c>
      <c r="M719" s="59">
        <v>0.63</v>
      </c>
      <c r="N719" s="52"/>
      <c r="O719" s="52"/>
      <c r="P719" s="63"/>
      <c r="Q719" s="63"/>
      <c r="R719" s="52"/>
      <c r="S719" s="60">
        <v>0.25</v>
      </c>
      <c r="T719" s="48">
        <f>ROUND((L719*I717+1.3*L719*K717+S719*H717),4)</f>
        <v>186.74250000000001</v>
      </c>
      <c r="U719" s="48">
        <f>ROUND((M719*0.9*I717+1.3*M719*0.9*K717+S719*H717),4)</f>
        <v>205.93729999999999</v>
      </c>
      <c r="V719" s="48">
        <f>ROUND((M719*I717+1.3*M719*K717+S719*H717),4)</f>
        <v>227.1525</v>
      </c>
      <c r="W719" s="48">
        <f>ROUND((L719*J717+1.3*L719*N717+S719*G717),4)</f>
        <v>15.27</v>
      </c>
      <c r="X719" s="48">
        <f>ROUND((M719*0.9*J717+1.3*M719*0.9*N717+S719*G717),4)</f>
        <v>16.809000000000001</v>
      </c>
      <c r="Y719" s="48">
        <f>ROUND((M719*J717+1.3*M719*N717+S719*G717),4)</f>
        <v>18.510000000000002</v>
      </c>
      <c r="Z719" s="49">
        <f>ROUND((P717*T719*F717*O717/1000000),4)</f>
        <v>2.8000000000000001E-2</v>
      </c>
      <c r="AA719" s="49">
        <f>ROUND((Q717*U719*F717*O717/1000000),4)</f>
        <v>6.1999999999999998E-3</v>
      </c>
      <c r="AB719" s="49">
        <f>ROUND((R717*V719*F717*O717/1000000),4)</f>
        <v>6.7999999999999996E-3</v>
      </c>
      <c r="AC719" s="50" t="s">
        <v>203</v>
      </c>
      <c r="AD719" s="51" t="s">
        <v>204</v>
      </c>
      <c r="AE719" s="44">
        <f>ROUND((((X719*E717)/1800)),4)</f>
        <v>9.2999999999999992E-3</v>
      </c>
      <c r="AF719" s="44">
        <f>ROUND(((Z719+AA719+AB719)),5)</f>
        <v>4.1000000000000002E-2</v>
      </c>
    </row>
    <row r="720" spans="1:32" ht="12.95" customHeight="1" x14ac:dyDescent="0.25">
      <c r="A720" s="52"/>
      <c r="B720" s="88"/>
      <c r="C720" s="52"/>
      <c r="D720" s="52"/>
      <c r="E720" s="52"/>
      <c r="F720" s="52"/>
      <c r="G720" s="52"/>
      <c r="H720" s="52"/>
      <c r="I720" s="52"/>
      <c r="J720" s="52"/>
      <c r="K720" s="52"/>
      <c r="L720" s="59">
        <v>1.1399999999999999</v>
      </c>
      <c r="M720" s="59">
        <v>1.37</v>
      </c>
      <c r="N720" s="52"/>
      <c r="O720" s="52"/>
      <c r="P720" s="63"/>
      <c r="Q720" s="63"/>
      <c r="R720" s="52"/>
      <c r="S720" s="61">
        <v>0.79</v>
      </c>
      <c r="T720" s="48">
        <f>ROUND((L720*I717+1.3*L720*K717+S720*H717),4)</f>
        <v>431.29500000000002</v>
      </c>
      <c r="U720" s="48">
        <f>ROUND((M720*0.9*I717+1.3*M720*0.9*K717+S720*H717),4)</f>
        <v>462.61279999999999</v>
      </c>
      <c r="V720" s="48">
        <f>ROUND((M720*I717+1.3*M720*K717+S720*H717),4)</f>
        <v>508.7475</v>
      </c>
      <c r="W720" s="48">
        <f>ROUND((L720*J717+1.3*L720*N717+S720*G717),4)</f>
        <v>35.520000000000003</v>
      </c>
      <c r="X720" s="48">
        <f>ROUND((M720*0.9*J717+1.3*M720*0.9*N717+S720*G717),4)</f>
        <v>38.030999999999999</v>
      </c>
      <c r="Y720" s="48">
        <f>ROUND((M720*J717+1.3*N717+S720*G717),4)</f>
        <v>36.92</v>
      </c>
      <c r="Z720" s="49">
        <f>ROUND((P717*T720*F717*O717/1000000),4)</f>
        <v>6.4699999999999994E-2</v>
      </c>
      <c r="AA720" s="49">
        <f>ROUND((Q717*U720*F717*O717/1000000),4)</f>
        <v>1.3899999999999999E-2</v>
      </c>
      <c r="AB720" s="49">
        <f>ROUND((R717*V720*F717*O717/1000000),4)</f>
        <v>1.5299999999999999E-2</v>
      </c>
      <c r="AC720" s="50" t="s">
        <v>205</v>
      </c>
      <c r="AD720" s="51" t="s">
        <v>206</v>
      </c>
      <c r="AE720" s="44">
        <f>ROUND((((X720*E717)/1800)),4)</f>
        <v>2.1100000000000001E-2</v>
      </c>
      <c r="AF720" s="44">
        <f>ROUND(((Z720+AA720+AB720)),4)</f>
        <v>9.3899999999999997E-2</v>
      </c>
    </row>
    <row r="721" spans="1:32" ht="12.95" customHeight="1" x14ac:dyDescent="0.25">
      <c r="A721" s="52"/>
      <c r="B721" s="53"/>
      <c r="C721" s="52"/>
      <c r="D721" s="52"/>
      <c r="E721" s="52"/>
      <c r="F721" s="52"/>
      <c r="G721" s="52"/>
      <c r="H721" s="52"/>
      <c r="I721" s="52"/>
      <c r="J721" s="52"/>
      <c r="K721" s="52"/>
      <c r="L721" s="59">
        <v>0.72</v>
      </c>
      <c r="M721" s="59">
        <v>1.08</v>
      </c>
      <c r="N721" s="52"/>
      <c r="O721" s="52"/>
      <c r="P721" s="63"/>
      <c r="Q721" s="63"/>
      <c r="R721" s="52"/>
      <c r="S721" s="61">
        <v>0.17</v>
      </c>
      <c r="T721" s="48">
        <f>ROUND((L721*I717+1.3*L721*K717+S721*H717),4)</f>
        <v>252.66</v>
      </c>
      <c r="U721" s="48">
        <f>ROUND((M721*0.9*I717+1.3*M721*0.9*K717+S721*H717),4)</f>
        <v>337.52100000000002</v>
      </c>
      <c r="V721" s="48">
        <f>ROUND((M721*I717+1.3*M721*K717+S721*H717),4)</f>
        <v>373.89</v>
      </c>
      <c r="W721" s="48">
        <f>ROUND((L721*J717+1.3*L721*N717+S721*G717),4)</f>
        <v>20.46</v>
      </c>
      <c r="X721" s="48">
        <f>ROUND((M721*0.9*J717+1.3*M721*0.9*N717+S721*G717),4)</f>
        <v>27.263999999999999</v>
      </c>
      <c r="Y721" s="48">
        <f>ROUND((M721*J717+1.3*M721*N717+S721*G717),4)</f>
        <v>30.18</v>
      </c>
      <c r="Z721" s="49">
        <f>ROUND((P717*T721*F717*O717/1000000),4)</f>
        <v>3.7900000000000003E-2</v>
      </c>
      <c r="AA721" s="49">
        <f>ROUND((Q717*U721*F717*O717/1000000),4)</f>
        <v>1.01E-2</v>
      </c>
      <c r="AB721" s="49">
        <f>ROUND((R717*V721*F717*O717/1000000),4)</f>
        <v>1.12E-2</v>
      </c>
      <c r="AC721" s="50" t="s">
        <v>250</v>
      </c>
      <c r="AD721" s="51" t="s">
        <v>208</v>
      </c>
      <c r="AE721" s="44">
        <f>ROUND((((X721*E717)/1800)),4)</f>
        <v>1.5100000000000001E-2</v>
      </c>
      <c r="AF721" s="44">
        <f>ROUND(((Z721+AA721+AB721)),4)</f>
        <v>5.9200000000000003E-2</v>
      </c>
    </row>
    <row r="722" spans="1:32" ht="12.95" customHeight="1" x14ac:dyDescent="0.25">
      <c r="A722" s="52"/>
      <c r="B722" s="62"/>
      <c r="C722" s="56"/>
      <c r="D722" s="56"/>
      <c r="E722" s="56"/>
      <c r="F722" s="56"/>
      <c r="G722" s="56"/>
      <c r="H722" s="56"/>
      <c r="I722" s="56"/>
      <c r="J722" s="56"/>
      <c r="K722" s="56"/>
      <c r="L722" s="59">
        <v>3.37</v>
      </c>
      <c r="M722" s="59">
        <v>4.1100000000000003</v>
      </c>
      <c r="N722" s="56"/>
      <c r="O722" s="56"/>
      <c r="P722" s="66"/>
      <c r="Q722" s="66"/>
      <c r="R722" s="56"/>
      <c r="S722" s="61">
        <v>6.31</v>
      </c>
      <c r="T722" s="48">
        <f>ROUND((L722*I717+1.3*L722*K717+S722*H717),4)</f>
        <v>1513.4475</v>
      </c>
      <c r="U722" s="48">
        <f>ROUND((M722*0.9*I717+1.3*M722*0.9*K717+S722*H717),4)</f>
        <v>1624.2383</v>
      </c>
      <c r="V722" s="48">
        <f>ROUND((M722*I717+1.3*M722*K717+S722*H717),4)</f>
        <v>1762.6424999999999</v>
      </c>
      <c r="W722" s="48">
        <f>ROUND((L722*J717+1.3*L722*N717+S722*G717),4)</f>
        <v>128.85</v>
      </c>
      <c r="X722" s="48">
        <f>ROUND((M722*0.9*J717+1.3*M722*0.9*N717+S722*G717),4)</f>
        <v>137.733</v>
      </c>
      <c r="Y722" s="48">
        <f>ROUND((M722*J717+1.3*M722*N717+S722*G717),4)</f>
        <v>148.83000000000001</v>
      </c>
      <c r="Z722" s="49">
        <f>ROUND((P717*T722*F717*O717/1000000),4)</f>
        <v>0.22700000000000001</v>
      </c>
      <c r="AA722" s="49">
        <f>ROUND((Q717*U722*F717*O717/1000000),4)</f>
        <v>4.87E-2</v>
      </c>
      <c r="AB722" s="49">
        <f>ROUND((R717*V722*F717*O717/1000000),4)</f>
        <v>5.2900000000000003E-2</v>
      </c>
      <c r="AC722" s="50" t="s">
        <v>170</v>
      </c>
      <c r="AD722" s="51" t="s">
        <v>162</v>
      </c>
      <c r="AE722" s="44">
        <f>ROUND((((X722*E717)/1800)),4)</f>
        <v>7.6499999999999999E-2</v>
      </c>
      <c r="AF722" s="44">
        <f>ROUND(((Z722+AA722+AB722)),4)</f>
        <v>0.3286</v>
      </c>
    </row>
    <row r="723" spans="1:32" ht="12.95" customHeight="1" x14ac:dyDescent="0.25">
      <c r="A723" s="52"/>
      <c r="B723" s="67" t="s">
        <v>214</v>
      </c>
      <c r="C723" s="46">
        <v>7</v>
      </c>
      <c r="D723" s="45" t="s">
        <v>217</v>
      </c>
      <c r="E723" s="45">
        <v>1</v>
      </c>
      <c r="F723" s="45">
        <v>1</v>
      </c>
      <c r="G723" s="45">
        <v>6</v>
      </c>
      <c r="H723" s="45">
        <v>60</v>
      </c>
      <c r="I723" s="45">
        <f>(8-1-0.75*2)*60*F723-K723-8*0.12*60</f>
        <v>57.900000000000006</v>
      </c>
      <c r="J723" s="45">
        <v>14</v>
      </c>
      <c r="K723" s="45">
        <f>(8-1-0.75*2)*0.65*60*F723</f>
        <v>214.5</v>
      </c>
      <c r="L723" s="48">
        <v>10.16</v>
      </c>
      <c r="M723" s="48">
        <v>10.16</v>
      </c>
      <c r="N723" s="45">
        <v>10</v>
      </c>
      <c r="O723" s="45">
        <f>E723/F723</f>
        <v>1</v>
      </c>
      <c r="P723" s="45">
        <v>150</v>
      </c>
      <c r="Q723" s="45">
        <v>30</v>
      </c>
      <c r="R723" s="47">
        <v>30</v>
      </c>
      <c r="S723" s="47">
        <v>1.99</v>
      </c>
      <c r="T723" s="48">
        <f>ROUND((L723*I723+1.3*L723*K723+S723*H723),4)</f>
        <v>3540.78</v>
      </c>
      <c r="U723" s="48">
        <f>ROUND((M723*I723+1.3*M723*K723+S723*H723),4)</f>
        <v>3540.78</v>
      </c>
      <c r="V723" s="48">
        <f>ROUND((M723*I723+1.3*M723*K723+S723*H723),4)</f>
        <v>3540.78</v>
      </c>
      <c r="W723" s="48">
        <f>ROUND((L723*J723+1.3*L723*N723+S723*G723),4)</f>
        <v>286.26</v>
      </c>
      <c r="X723" s="48">
        <f>ROUND((M723*J723+1.3*M723*N723+S723*G723),4)</f>
        <v>286.26</v>
      </c>
      <c r="Y723" s="48">
        <f>ROUND((M723*J723+1.3*M723*N723+S723*G723),4)</f>
        <v>286.26</v>
      </c>
      <c r="Z723" s="49">
        <f>ROUND((P723*T723*F723*O723/1000000),4)</f>
        <v>0.53110000000000002</v>
      </c>
      <c r="AA723" s="49">
        <f>ROUND((Q723*U723*F723*O723/1000000),4)</f>
        <v>0.1062</v>
      </c>
      <c r="AB723" s="49">
        <f>ROUND((R723*V723*F723*O723/1000000),4)</f>
        <v>0.1062</v>
      </c>
      <c r="AC723" s="50" t="s">
        <v>200</v>
      </c>
      <c r="AD723" s="51" t="s">
        <v>153</v>
      </c>
      <c r="AE723" s="44">
        <f>ROUND((((X723*E723)/1800)*0.8),4)</f>
        <v>0.12720000000000001</v>
      </c>
      <c r="AF723" s="44">
        <f>ROUND(((Z723+AA723+AB723)*0.8),4)</f>
        <v>0.5948</v>
      </c>
    </row>
    <row r="724" spans="1:32" ht="12.95" customHeight="1" x14ac:dyDescent="0.25">
      <c r="A724" s="52"/>
      <c r="B724" s="53" t="s">
        <v>216</v>
      </c>
      <c r="C724" s="52"/>
      <c r="D724" s="52"/>
      <c r="E724" s="52"/>
      <c r="F724" s="52"/>
      <c r="G724" s="52"/>
      <c r="H724" s="52"/>
      <c r="I724" s="52"/>
      <c r="J724" s="52"/>
      <c r="K724" s="52"/>
      <c r="L724" s="56"/>
      <c r="M724" s="56"/>
      <c r="N724" s="52"/>
      <c r="O724" s="52"/>
      <c r="P724" s="52"/>
      <c r="Q724" s="52"/>
      <c r="R724" s="52"/>
      <c r="S724" s="57"/>
      <c r="T724" s="54"/>
      <c r="U724" s="54"/>
      <c r="V724" s="54"/>
      <c r="W724" s="54"/>
      <c r="X724" s="54"/>
      <c r="Y724" s="54"/>
      <c r="Z724" s="54"/>
      <c r="AA724" s="54"/>
      <c r="AB724" s="54"/>
      <c r="AC724" s="50" t="s">
        <v>201</v>
      </c>
      <c r="AD724" s="51" t="s">
        <v>202</v>
      </c>
      <c r="AE724" s="44">
        <f>ROUND((((X723*E723)/1800)*0.13),4)</f>
        <v>2.07E-2</v>
      </c>
      <c r="AF724" s="44">
        <f>ROUND(((Z723+AA723+AB723)*0.13),4)</f>
        <v>9.6699999999999994E-2</v>
      </c>
    </row>
    <row r="725" spans="1:32" ht="12.95" customHeight="1" x14ac:dyDescent="0.25">
      <c r="A725" s="52"/>
      <c r="B725" s="88"/>
      <c r="C725" s="55"/>
      <c r="D725" s="55"/>
      <c r="E725" s="52"/>
      <c r="F725" s="63"/>
      <c r="G725" s="52"/>
      <c r="H725" s="52"/>
      <c r="I725" s="52"/>
      <c r="J725" s="52"/>
      <c r="K725" s="52"/>
      <c r="L725" s="59">
        <v>0.8</v>
      </c>
      <c r="M725" s="59">
        <v>0.98</v>
      </c>
      <c r="N725" s="52"/>
      <c r="O725" s="52"/>
      <c r="P725" s="52"/>
      <c r="Q725" s="52"/>
      <c r="R725" s="52"/>
      <c r="S725" s="60">
        <v>0.39</v>
      </c>
      <c r="T725" s="48">
        <f>ROUND((L725*I723+1.3*L725*K723+S725*H723),4)</f>
        <v>292.8</v>
      </c>
      <c r="U725" s="48">
        <f>ROUND((M725*0.9*I723+1.3*M725*0.9*K723+S725*H723),4)</f>
        <v>320.4135</v>
      </c>
      <c r="V725" s="48">
        <f>ROUND((M725*I723+1.3*M725*K723+S725*H723),4)</f>
        <v>353.41500000000002</v>
      </c>
      <c r="W725" s="48">
        <f>ROUND((L725*J723+1.3*L725*N723+S725*G723),4)</f>
        <v>23.94</v>
      </c>
      <c r="X725" s="48">
        <f>ROUND((M725*0.9*J723+1.3*M725*0.9*N723+S725*G723),4)</f>
        <v>26.154</v>
      </c>
      <c r="Y725" s="48">
        <f>ROUND((M725*J723+1.3*M725*N723+S725*G723),4)</f>
        <v>28.8</v>
      </c>
      <c r="Z725" s="49">
        <f>ROUND((P723*T725*F723*O723/1000000),4)</f>
        <v>4.3900000000000002E-2</v>
      </c>
      <c r="AA725" s="49">
        <f>ROUND((Q723*U725*F723*O723/1000000),4)</f>
        <v>9.5999999999999992E-3</v>
      </c>
      <c r="AB725" s="49">
        <f>ROUND((R723*V725*F723*O723/1000000),4)</f>
        <v>1.06E-2</v>
      </c>
      <c r="AC725" s="50" t="s">
        <v>203</v>
      </c>
      <c r="AD725" s="51" t="s">
        <v>204</v>
      </c>
      <c r="AE725" s="44">
        <f>ROUND((((X725*E723)/1800)),4)</f>
        <v>1.4500000000000001E-2</v>
      </c>
      <c r="AF725" s="44">
        <f>ROUND(((Z725+AA725+AB725)),5)</f>
        <v>6.4100000000000004E-2</v>
      </c>
    </row>
    <row r="726" spans="1:32" ht="12.95" customHeight="1" x14ac:dyDescent="0.25">
      <c r="A726" s="52"/>
      <c r="B726" s="88"/>
      <c r="C726" s="52"/>
      <c r="D726" s="52"/>
      <c r="E726" s="52"/>
      <c r="F726" s="63"/>
      <c r="G726" s="52"/>
      <c r="H726" s="52"/>
      <c r="I726" s="52"/>
      <c r="J726" s="52"/>
      <c r="K726" s="52"/>
      <c r="L726" s="59">
        <v>1.79</v>
      </c>
      <c r="M726" s="59">
        <v>2.15</v>
      </c>
      <c r="N726" s="52"/>
      <c r="O726" s="52"/>
      <c r="P726" s="52"/>
      <c r="Q726" s="52"/>
      <c r="R726" s="52"/>
      <c r="S726" s="61">
        <v>1.24</v>
      </c>
      <c r="T726" s="48">
        <f>ROUND((L726*I723+1.3*L726*K723+S726*H723),4)</f>
        <v>677.1825</v>
      </c>
      <c r="U726" s="48">
        <f>ROUND((M726*0.9*I723+1.3*M726*0.9*K723+S726*H723),4)</f>
        <v>726.01130000000001</v>
      </c>
      <c r="V726" s="48">
        <f>ROUND((M726*I723+1.3*M726*K723+S726*H723),4)</f>
        <v>798.41250000000002</v>
      </c>
      <c r="W726" s="48">
        <f>ROUND((L726*J723+1.3*L726*N723+S726*G723),4)</f>
        <v>55.77</v>
      </c>
      <c r="X726" s="48">
        <f>ROUND((M726*0.9*J723+1.3*M726*0.9*N723+S726*G723),4)</f>
        <v>59.685000000000002</v>
      </c>
      <c r="Y726" s="48">
        <f>ROUND((M726*J723+1.3*N723+S726*G723),4)</f>
        <v>50.54</v>
      </c>
      <c r="Z726" s="49">
        <f>ROUND((P723*T726*F723*O723/1000000),4)</f>
        <v>0.1016</v>
      </c>
      <c r="AA726" s="49">
        <f>ROUND((Q723*U726*F723*O723/1000000),4)</f>
        <v>2.18E-2</v>
      </c>
      <c r="AB726" s="49">
        <f>ROUND((R723*V726*F723*O723/1000000),4)</f>
        <v>2.4E-2</v>
      </c>
      <c r="AC726" s="50" t="s">
        <v>205</v>
      </c>
      <c r="AD726" s="51" t="s">
        <v>206</v>
      </c>
      <c r="AE726" s="44">
        <f>ROUND((((X726*E723)/1800)),4)</f>
        <v>3.32E-2</v>
      </c>
      <c r="AF726" s="44">
        <f>ROUND(((Z726+AA726+AB726)),4)</f>
        <v>0.1474</v>
      </c>
    </row>
    <row r="727" spans="1:32" ht="12.95" customHeight="1" x14ac:dyDescent="0.25">
      <c r="A727" s="52"/>
      <c r="B727" s="53"/>
      <c r="C727" s="52"/>
      <c r="D727" s="52"/>
      <c r="E727" s="52"/>
      <c r="F727" s="63"/>
      <c r="G727" s="52"/>
      <c r="H727" s="52"/>
      <c r="I727" s="52"/>
      <c r="J727" s="52"/>
      <c r="K727" s="52"/>
      <c r="L727" s="59">
        <v>1.1299999999999999</v>
      </c>
      <c r="M727" s="59">
        <v>1.7</v>
      </c>
      <c r="N727" s="52"/>
      <c r="O727" s="52"/>
      <c r="P727" s="52"/>
      <c r="Q727" s="52"/>
      <c r="R727" s="52"/>
      <c r="S727" s="61">
        <v>0.26</v>
      </c>
      <c r="T727" s="48">
        <f>ROUND((L727*I723+1.3*L727*K723+S727*H723),4)</f>
        <v>396.1275</v>
      </c>
      <c r="U727" s="48">
        <f>ROUND((M727*0.9*I723+1.3*M727*0.9*K723+S727*H723),4)</f>
        <v>530.82749999999999</v>
      </c>
      <c r="V727" s="48">
        <f>ROUND((M727*I723+1.3*M727*K723+S727*H723),4)</f>
        <v>588.07500000000005</v>
      </c>
      <c r="W727" s="48">
        <f>ROUND((L727*J723+1.3*L727*N723+S727*G723),4)</f>
        <v>32.07</v>
      </c>
      <c r="X727" s="48">
        <f>ROUND((M727*0.9*J723+1.3*M727*0.9*N723+S727*G723),4)</f>
        <v>42.87</v>
      </c>
      <c r="Y727" s="48">
        <f>ROUND((M727*J723+1.3*M727*N723+S727*G723),4)</f>
        <v>47.46</v>
      </c>
      <c r="Z727" s="49">
        <f>ROUND((P723*T727*F723*O723/1000000),4)</f>
        <v>5.9400000000000001E-2</v>
      </c>
      <c r="AA727" s="49">
        <f>ROUND((Q723*U727*F723*O723/1000000),4)</f>
        <v>1.5900000000000001E-2</v>
      </c>
      <c r="AB727" s="49">
        <f>ROUND((R723*V727*F723*O723/1000000),4)</f>
        <v>1.7600000000000001E-2</v>
      </c>
      <c r="AC727" s="50" t="s">
        <v>250</v>
      </c>
      <c r="AD727" s="51" t="s">
        <v>208</v>
      </c>
      <c r="AE727" s="44">
        <f>ROUND((((X727*E723)/1800)),4)</f>
        <v>2.3800000000000002E-2</v>
      </c>
      <c r="AF727" s="44">
        <f>ROUND(((Z727+AA727+AB727)),4)</f>
        <v>9.2899999999999996E-2</v>
      </c>
    </row>
    <row r="728" spans="1:32" ht="12.95" customHeight="1" x14ac:dyDescent="0.25">
      <c r="A728" s="52"/>
      <c r="B728" s="62"/>
      <c r="C728" s="56"/>
      <c r="D728" s="56"/>
      <c r="E728" s="56"/>
      <c r="F728" s="66"/>
      <c r="G728" s="56"/>
      <c r="H728" s="56"/>
      <c r="I728" s="56"/>
      <c r="J728" s="56"/>
      <c r="K728" s="56"/>
      <c r="L728" s="59">
        <v>5.3</v>
      </c>
      <c r="M728" s="59">
        <v>6.47</v>
      </c>
      <c r="N728" s="56"/>
      <c r="O728" s="56"/>
      <c r="P728" s="56"/>
      <c r="Q728" s="56"/>
      <c r="R728" s="56"/>
      <c r="S728" s="61">
        <v>9.92</v>
      </c>
      <c r="T728" s="48">
        <f>ROUND((L728*I723+1.3*L728*K723+S728*H723),4)</f>
        <v>2379.9749999999999</v>
      </c>
      <c r="U728" s="48">
        <f>ROUND((M728*0.9*I723+1.3*M728*0.9*K723+S728*H723),4)</f>
        <v>2556.0953</v>
      </c>
      <c r="V728" s="48">
        <f>ROUND((M728*I723+1.3*M728*K723+S728*H723),4)</f>
        <v>2773.9724999999999</v>
      </c>
      <c r="W728" s="48">
        <f>ROUND((L728*J723+1.3*L728*N723+S728*G723),4)</f>
        <v>202.62</v>
      </c>
      <c r="X728" s="48">
        <f>ROUND((M728*0.9*J723+1.3*M728*0.9*N723+S728*G723),4)</f>
        <v>216.74100000000001</v>
      </c>
      <c r="Y728" s="48">
        <f>ROUND((M728*J723+1.3*M728*N723+S728*G723),4)</f>
        <v>234.21</v>
      </c>
      <c r="Z728" s="49">
        <f>ROUND((P723*T728*F723*O723/1000000),4)</f>
        <v>0.35699999999999998</v>
      </c>
      <c r="AA728" s="49">
        <f>ROUND((Q723*U728*F723*O723/1000000),4)</f>
        <v>7.6700000000000004E-2</v>
      </c>
      <c r="AB728" s="49">
        <f>ROUND((R723*V728*F723*O723/1000000),4)</f>
        <v>8.3199999999999996E-2</v>
      </c>
      <c r="AC728" s="50" t="s">
        <v>170</v>
      </c>
      <c r="AD728" s="51" t="s">
        <v>162</v>
      </c>
      <c r="AE728" s="44">
        <f>ROUND((((X728*E723)/1800)),4)</f>
        <v>0.12039999999999999</v>
      </c>
      <c r="AF728" s="44">
        <f>ROUND(((Z728+AA728+AB728)),4)</f>
        <v>0.51690000000000003</v>
      </c>
    </row>
    <row r="729" spans="1:32" ht="12.95" customHeight="1" x14ac:dyDescent="0.25">
      <c r="A729" s="52"/>
      <c r="B729" s="67" t="s">
        <v>220</v>
      </c>
      <c r="C729" s="46">
        <v>7</v>
      </c>
      <c r="D729" s="45" t="s">
        <v>217</v>
      </c>
      <c r="E729" s="45">
        <v>1</v>
      </c>
      <c r="F729" s="45">
        <v>3</v>
      </c>
      <c r="G729" s="45">
        <v>6</v>
      </c>
      <c r="H729" s="45">
        <v>60</v>
      </c>
      <c r="I729" s="45">
        <f>(8-1-0.75*2)*60*F729-K729-8*0.12*60</f>
        <v>288.89999999999998</v>
      </c>
      <c r="J729" s="45">
        <v>14</v>
      </c>
      <c r="K729" s="45">
        <f>(8-1-0.75*2)*0.65*60*F729</f>
        <v>643.5</v>
      </c>
      <c r="L729" s="48">
        <v>10.16</v>
      </c>
      <c r="M729" s="48">
        <v>10.16</v>
      </c>
      <c r="N729" s="45">
        <v>10</v>
      </c>
      <c r="O729" s="45">
        <f>E729/F729</f>
        <v>0.33333333333333331</v>
      </c>
      <c r="P729" s="45">
        <v>120</v>
      </c>
      <c r="Q729" s="45">
        <v>30</v>
      </c>
      <c r="R729" s="47">
        <v>30</v>
      </c>
      <c r="S729" s="47">
        <v>1.99</v>
      </c>
      <c r="T729" s="48">
        <f>ROUND((L729*I729+1.3*L729*K729+S729*H729),4)</f>
        <v>11553.972</v>
      </c>
      <c r="U729" s="48">
        <f>ROUND((M729*I729+1.3*M729*K729+S729*H729),4)</f>
        <v>11553.972</v>
      </c>
      <c r="V729" s="48">
        <f>ROUND((M729*I729+1.3*M729*K729+S729*H729),4)</f>
        <v>11553.972</v>
      </c>
      <c r="W729" s="48">
        <f>ROUND((L729*J729+1.3*L729*N729+S729*G729),4)</f>
        <v>286.26</v>
      </c>
      <c r="X729" s="48">
        <f>ROUND((M729*J729+1.3*M729*N729+S729*G729),4)</f>
        <v>286.26</v>
      </c>
      <c r="Y729" s="48">
        <f>ROUND((M729*J729+1.3*M729*N729+S729*G729),4)</f>
        <v>286.26</v>
      </c>
      <c r="Z729" s="49">
        <f>ROUND((P729*T729*F729*O729/1000000),4)</f>
        <v>1.3865000000000001</v>
      </c>
      <c r="AA729" s="49">
        <f>ROUND((Q729*U729*F729*O729/1000000),4)</f>
        <v>0.34660000000000002</v>
      </c>
      <c r="AB729" s="49">
        <f>ROUND((R729*V729*F729*O729/1000000),4)</f>
        <v>0.34660000000000002</v>
      </c>
      <c r="AC729" s="50" t="s">
        <v>200</v>
      </c>
      <c r="AD729" s="51" t="s">
        <v>153</v>
      </c>
      <c r="AE729" s="44">
        <f>ROUND((((X729*E729)/1800)*0.8),4)</f>
        <v>0.12720000000000001</v>
      </c>
      <c r="AF729" s="44">
        <f>ROUND(((Z729+AA729+AB729)*0.8),4)</f>
        <v>1.6637999999999999</v>
      </c>
    </row>
    <row r="730" spans="1:32" ht="12.95" customHeight="1" x14ac:dyDescent="0.25">
      <c r="A730" s="52"/>
      <c r="B730" s="53" t="s">
        <v>221</v>
      </c>
      <c r="C730" s="52"/>
      <c r="D730" s="52"/>
      <c r="E730" s="52"/>
      <c r="F730" s="52"/>
      <c r="G730" s="52"/>
      <c r="H730" s="52"/>
      <c r="I730" s="52"/>
      <c r="J730" s="52"/>
      <c r="K730" s="52"/>
      <c r="L730" s="56"/>
      <c r="M730" s="56"/>
      <c r="N730" s="52"/>
      <c r="O730" s="52"/>
      <c r="P730" s="52"/>
      <c r="Q730" s="52"/>
      <c r="R730" s="52"/>
      <c r="S730" s="57"/>
      <c r="T730" s="54"/>
      <c r="U730" s="54"/>
      <c r="V730" s="54"/>
      <c r="W730" s="54"/>
      <c r="X730" s="54"/>
      <c r="Y730" s="54"/>
      <c r="Z730" s="54"/>
      <c r="AA730" s="54"/>
      <c r="AB730" s="54"/>
      <c r="AC730" s="50" t="s">
        <v>201</v>
      </c>
      <c r="AD730" s="51" t="s">
        <v>202</v>
      </c>
      <c r="AE730" s="44">
        <f>ROUND((((X729*E729)/1800)*0.13),4)</f>
        <v>2.07E-2</v>
      </c>
      <c r="AF730" s="44">
        <f>ROUND(((Z729+AA729+AB729)*0.13),4)</f>
        <v>0.27039999999999997</v>
      </c>
    </row>
    <row r="731" spans="1:32" ht="12.95" customHeight="1" x14ac:dyDescent="0.25">
      <c r="A731" s="52"/>
      <c r="B731" s="88"/>
      <c r="C731" s="55"/>
      <c r="D731" s="55"/>
      <c r="E731" s="52"/>
      <c r="F731" s="52"/>
      <c r="G731" s="52"/>
      <c r="H731" s="52"/>
      <c r="I731" s="52"/>
      <c r="J731" s="52"/>
      <c r="K731" s="52"/>
      <c r="L731" s="59">
        <v>0.8</v>
      </c>
      <c r="M731" s="59">
        <v>0.98</v>
      </c>
      <c r="N731" s="52"/>
      <c r="O731" s="52"/>
      <c r="P731" s="52"/>
      <c r="Q731" s="52"/>
      <c r="R731" s="52"/>
      <c r="S731" s="60">
        <v>0.39</v>
      </c>
      <c r="T731" s="48">
        <f>ROUND((L731*I729+1.3*L731*K729+S731*H729),4)</f>
        <v>923.76</v>
      </c>
      <c r="U731" s="48">
        <f>ROUND((M731*0.9*I729+1.3*M731*0.9*K729+S731*H729),4)</f>
        <v>1016.0469000000001</v>
      </c>
      <c r="V731" s="48">
        <f>ROUND((M731*I729+1.3*M731*K729+S731*H729),4)</f>
        <v>1126.3409999999999</v>
      </c>
      <c r="W731" s="48">
        <f>ROUND((L731*J729+1.3*L731*N729+S731*G729),4)</f>
        <v>23.94</v>
      </c>
      <c r="X731" s="48">
        <f>ROUND((M731*0.9*J729+1.3*M731*0.9*N729+S731*G729),4)</f>
        <v>26.154</v>
      </c>
      <c r="Y731" s="48">
        <f>ROUND((M731*J729+1.3*M731*N729+S731*G729),4)</f>
        <v>28.8</v>
      </c>
      <c r="Z731" s="49">
        <f>ROUND((P729*T731*F729*O729/1000000),4)</f>
        <v>0.1109</v>
      </c>
      <c r="AA731" s="49">
        <f>ROUND((Q729*U731*F729*O729/1000000),4)</f>
        <v>3.0499999999999999E-2</v>
      </c>
      <c r="AB731" s="49">
        <f>ROUND((R729*V731*F729*O729/1000000),4)</f>
        <v>3.3799999999999997E-2</v>
      </c>
      <c r="AC731" s="50" t="s">
        <v>203</v>
      </c>
      <c r="AD731" s="51" t="s">
        <v>204</v>
      </c>
      <c r="AE731" s="44">
        <f>ROUND((((X731*E729)/1800)),4)</f>
        <v>1.4500000000000001E-2</v>
      </c>
      <c r="AF731" s="44">
        <f>ROUND(((Z731+AA731+AB731)),5)</f>
        <v>0.17519999999999999</v>
      </c>
    </row>
    <row r="732" spans="1:32" ht="12.95" customHeight="1" x14ac:dyDescent="0.25">
      <c r="A732" s="52"/>
      <c r="B732" s="88"/>
      <c r="C732" s="52"/>
      <c r="D732" s="52"/>
      <c r="E732" s="52"/>
      <c r="F732" s="52"/>
      <c r="G732" s="52"/>
      <c r="H732" s="52"/>
      <c r="I732" s="52"/>
      <c r="J732" s="52"/>
      <c r="K732" s="52"/>
      <c r="L732" s="59">
        <v>1.79</v>
      </c>
      <c r="M732" s="59">
        <v>2.15</v>
      </c>
      <c r="N732" s="52"/>
      <c r="O732" s="52"/>
      <c r="P732" s="52"/>
      <c r="Q732" s="52"/>
      <c r="R732" s="52"/>
      <c r="S732" s="61">
        <v>1.24</v>
      </c>
      <c r="T732" s="48">
        <f>ROUND((L732*I729+1.3*L732*K729+S732*H729),4)</f>
        <v>2088.9555</v>
      </c>
      <c r="U732" s="48">
        <f>ROUND((M732*0.9*I729+1.3*M732*0.9*K729+S732*H729),4)</f>
        <v>2252.1457999999998</v>
      </c>
      <c r="V732" s="48">
        <f>ROUND((M732*I729+1.3*M732*K729+S732*H729),4)</f>
        <v>2494.1174999999998</v>
      </c>
      <c r="W732" s="48">
        <f>ROUND((L732*J729+1.3*L732*N729+S732*G729),4)</f>
        <v>55.77</v>
      </c>
      <c r="X732" s="48">
        <f>ROUND((M732*0.9*J729+1.3*M732*0.9*N729+S732*G729),4)</f>
        <v>59.685000000000002</v>
      </c>
      <c r="Y732" s="48">
        <f>ROUND((M732*J729+1.3*N729+S732*G729),4)</f>
        <v>50.54</v>
      </c>
      <c r="Z732" s="49">
        <f>ROUND((P729*T732*F729*O729/1000000),4)</f>
        <v>0.25069999999999998</v>
      </c>
      <c r="AA732" s="49">
        <f>ROUND((Q729*U732*F729*O729/1000000),4)</f>
        <v>6.7599999999999993E-2</v>
      </c>
      <c r="AB732" s="49">
        <f>ROUND((R729*V732*F729*O729/1000000),4)</f>
        <v>7.4800000000000005E-2</v>
      </c>
      <c r="AC732" s="50" t="s">
        <v>205</v>
      </c>
      <c r="AD732" s="51" t="s">
        <v>206</v>
      </c>
      <c r="AE732" s="44">
        <f>ROUND((((X732*E729)/1800)),4)</f>
        <v>3.32E-2</v>
      </c>
      <c r="AF732" s="44">
        <f>ROUND(((Z732+AA732+AB732)),4)</f>
        <v>0.3931</v>
      </c>
    </row>
    <row r="733" spans="1:32" ht="12.95" customHeight="1" x14ac:dyDescent="0.25">
      <c r="A733" s="52"/>
      <c r="B733" s="53"/>
      <c r="C733" s="52"/>
      <c r="D733" s="52"/>
      <c r="E733" s="52"/>
      <c r="F733" s="52"/>
      <c r="G733" s="52"/>
      <c r="H733" s="52"/>
      <c r="I733" s="52"/>
      <c r="J733" s="52"/>
      <c r="K733" s="52"/>
      <c r="L733" s="59">
        <v>1.1299999999999999</v>
      </c>
      <c r="M733" s="59">
        <v>1.7</v>
      </c>
      <c r="N733" s="52"/>
      <c r="O733" s="52"/>
      <c r="P733" s="52"/>
      <c r="Q733" s="52"/>
      <c r="R733" s="52"/>
      <c r="S733" s="61">
        <v>0.26</v>
      </c>
      <c r="T733" s="48">
        <f>ROUND((L733*I729+1.3*L733*K729+S733*H729),4)</f>
        <v>1287.3585</v>
      </c>
      <c r="U733" s="48">
        <f>ROUND((M733*0.9*I729+1.3*M733*0.9*K729+S733*H729),4)</f>
        <v>1737.5385000000001</v>
      </c>
      <c r="V733" s="48">
        <f>ROUND((M733*I729+1.3*M733*K729+S733*H729),4)</f>
        <v>1928.865</v>
      </c>
      <c r="W733" s="48">
        <f>ROUND((L733*J729+1.3*L733*N729+S733*G729),4)</f>
        <v>32.07</v>
      </c>
      <c r="X733" s="48">
        <f>ROUND((M733*0.9*J729+1.3*M733*0.9*N729+S733*G729),4)</f>
        <v>42.87</v>
      </c>
      <c r="Y733" s="48">
        <f>ROUND((M733*J729+1.3*M733*N729+S733*G729),4)</f>
        <v>47.46</v>
      </c>
      <c r="Z733" s="49">
        <f>ROUND((P729*T733*F729*O729/1000000),4)</f>
        <v>0.1545</v>
      </c>
      <c r="AA733" s="49">
        <f>ROUND((Q729*U733*F729*O729/1000000),4)</f>
        <v>5.21E-2</v>
      </c>
      <c r="AB733" s="49">
        <f>ROUND((R729*V733*F729*O729/1000000),4)</f>
        <v>5.79E-2</v>
      </c>
      <c r="AC733" s="50" t="s">
        <v>250</v>
      </c>
      <c r="AD733" s="51" t="s">
        <v>208</v>
      </c>
      <c r="AE733" s="44">
        <f>ROUND((((X733*E729)/1800)),4)</f>
        <v>2.3800000000000002E-2</v>
      </c>
      <c r="AF733" s="44">
        <f>ROUND(((Z733+AA733+AB733)),4)</f>
        <v>0.26450000000000001</v>
      </c>
    </row>
    <row r="734" spans="1:32" ht="12.95" customHeight="1" x14ac:dyDescent="0.25">
      <c r="A734" s="52"/>
      <c r="B734" s="62"/>
      <c r="C734" s="56"/>
      <c r="D734" s="56"/>
      <c r="E734" s="56"/>
      <c r="F734" s="56"/>
      <c r="G734" s="56"/>
      <c r="H734" s="56"/>
      <c r="I734" s="56"/>
      <c r="J734" s="56"/>
      <c r="K734" s="56"/>
      <c r="L734" s="59">
        <v>5.3</v>
      </c>
      <c r="M734" s="59">
        <v>6.47</v>
      </c>
      <c r="N734" s="56"/>
      <c r="O734" s="56"/>
      <c r="P734" s="56"/>
      <c r="Q734" s="56"/>
      <c r="R734" s="56"/>
      <c r="S734" s="61">
        <v>9.92</v>
      </c>
      <c r="T734" s="48">
        <f>ROUND((L734*I729+1.3*L734*K729+S734*H729),4)</f>
        <v>6560.085</v>
      </c>
      <c r="U734" s="48">
        <f>ROUND((M734*0.9*I729+1.3*M734*0.9*K729+S734*H729),4)</f>
        <v>7148.6953999999996</v>
      </c>
      <c r="V734" s="48">
        <f>ROUND((M734*I729+1.3*M734*K729+S734*H729),4)</f>
        <v>7876.8615</v>
      </c>
      <c r="W734" s="48">
        <f>ROUND((L734*J729+1.3*L734*N729+S734*G729),4)</f>
        <v>202.62</v>
      </c>
      <c r="X734" s="48">
        <f>ROUND((M734*0.9*J729+1.3*M734*0.9*N729+S734*G729),4)</f>
        <v>216.74100000000001</v>
      </c>
      <c r="Y734" s="48">
        <f>ROUND((M734*J729+1.3*M734*N729+S734*G729),4)</f>
        <v>234.21</v>
      </c>
      <c r="Z734" s="49">
        <f>ROUND((P729*T734*F729*O729/1000000),4)</f>
        <v>0.78720000000000001</v>
      </c>
      <c r="AA734" s="49">
        <f>ROUND((Q729*U734*F729*O729/1000000),4)</f>
        <v>0.2145</v>
      </c>
      <c r="AB734" s="49">
        <f>ROUND((R729*V734*F729*O729/1000000),4)</f>
        <v>0.23630000000000001</v>
      </c>
      <c r="AC734" s="50" t="s">
        <v>170</v>
      </c>
      <c r="AD734" s="51" t="s">
        <v>162</v>
      </c>
      <c r="AE734" s="44">
        <f>ROUND((((X734*E729)/1800)),4)</f>
        <v>0.12039999999999999</v>
      </c>
      <c r="AF734" s="44">
        <f>ROUND(((Z734+AA734+AB734)),4)</f>
        <v>1.238</v>
      </c>
    </row>
    <row r="735" spans="1:32" ht="12.95" customHeight="1" x14ac:dyDescent="0.25">
      <c r="A735" s="52"/>
      <c r="B735" s="67" t="s">
        <v>220</v>
      </c>
      <c r="C735" s="46">
        <v>7</v>
      </c>
      <c r="D735" s="45" t="s">
        <v>217</v>
      </c>
      <c r="E735" s="45">
        <v>1</v>
      </c>
      <c r="F735" s="45">
        <v>1</v>
      </c>
      <c r="G735" s="45">
        <v>6</v>
      </c>
      <c r="H735" s="45">
        <v>60</v>
      </c>
      <c r="I735" s="45">
        <f>(8-1-0.75*2)*60*F735-K735-8*0.12*60</f>
        <v>57.900000000000006</v>
      </c>
      <c r="J735" s="45">
        <v>14</v>
      </c>
      <c r="K735" s="45">
        <f>(8-1-0.75*2)*0.65*60*F735</f>
        <v>214.5</v>
      </c>
      <c r="L735" s="48">
        <v>10.16</v>
      </c>
      <c r="M735" s="48">
        <v>10.16</v>
      </c>
      <c r="N735" s="45">
        <v>10</v>
      </c>
      <c r="O735" s="45">
        <f>E735/F735</f>
        <v>1</v>
      </c>
      <c r="P735" s="45">
        <v>120</v>
      </c>
      <c r="Q735" s="45">
        <v>30</v>
      </c>
      <c r="R735" s="47">
        <v>30</v>
      </c>
      <c r="S735" s="47">
        <v>1.99</v>
      </c>
      <c r="T735" s="48">
        <f>ROUND((L735*I735+1.3*L735*K735+S735*H735),4)</f>
        <v>3540.78</v>
      </c>
      <c r="U735" s="48">
        <f>ROUND((M735*I735+1.3*M735*K735+S735*H735),4)</f>
        <v>3540.78</v>
      </c>
      <c r="V735" s="48">
        <f>ROUND((M735*I735+1.3*M735*K735+S735*H735),4)</f>
        <v>3540.78</v>
      </c>
      <c r="W735" s="48">
        <f>ROUND((L735*J735+1.3*L735*N735+S735*G735),4)</f>
        <v>286.26</v>
      </c>
      <c r="X735" s="48">
        <f>ROUND((M735*J735+1.3*M735*N735+S735*G735),4)</f>
        <v>286.26</v>
      </c>
      <c r="Y735" s="48">
        <f>ROUND((M735*J735+1.3*M735*N735+S735*G735),4)</f>
        <v>286.26</v>
      </c>
      <c r="Z735" s="49">
        <f>ROUND((P735*T735*F735*O735/1000000),4)</f>
        <v>0.4249</v>
      </c>
      <c r="AA735" s="49">
        <f>ROUND((Q735*U735*F735*O735/1000000),4)</f>
        <v>0.1062</v>
      </c>
      <c r="AB735" s="49">
        <f>ROUND((R735*V735*F735*O735/1000000),4)</f>
        <v>0.1062</v>
      </c>
      <c r="AC735" s="50" t="s">
        <v>200</v>
      </c>
      <c r="AD735" s="51" t="s">
        <v>153</v>
      </c>
      <c r="AE735" s="44">
        <f>ROUND((((X735*E735)/1800)*0.8),4)</f>
        <v>0.12720000000000001</v>
      </c>
      <c r="AF735" s="44">
        <f>ROUND(((Z735+AA735+AB735)*0.8),4)</f>
        <v>0.50980000000000003</v>
      </c>
    </row>
    <row r="736" spans="1:32" ht="12.95" customHeight="1" x14ac:dyDescent="0.25">
      <c r="A736" s="52"/>
      <c r="B736" s="53" t="s">
        <v>222</v>
      </c>
      <c r="C736" s="52"/>
      <c r="D736" s="52"/>
      <c r="E736" s="52"/>
      <c r="F736" s="52"/>
      <c r="G736" s="52"/>
      <c r="H736" s="52"/>
      <c r="I736" s="52"/>
      <c r="J736" s="52"/>
      <c r="K736" s="52"/>
      <c r="L736" s="56"/>
      <c r="M736" s="56"/>
      <c r="N736" s="52"/>
      <c r="O736" s="52"/>
      <c r="P736" s="52"/>
      <c r="Q736" s="52"/>
      <c r="R736" s="52"/>
      <c r="S736" s="57"/>
      <c r="T736" s="54"/>
      <c r="U736" s="54"/>
      <c r="V736" s="54"/>
      <c r="W736" s="54"/>
      <c r="X736" s="54"/>
      <c r="Y736" s="54"/>
      <c r="Z736" s="54"/>
      <c r="AA736" s="54"/>
      <c r="AB736" s="54"/>
      <c r="AC736" s="50" t="s">
        <v>201</v>
      </c>
      <c r="AD736" s="51" t="s">
        <v>202</v>
      </c>
      <c r="AE736" s="44">
        <f>ROUND((((X735*E735)/1800)*0.13),4)</f>
        <v>2.07E-2</v>
      </c>
      <c r="AF736" s="44">
        <f>ROUND(((Z735+AA735+AB735)*0.13),4)</f>
        <v>8.2799999999999999E-2</v>
      </c>
    </row>
    <row r="737" spans="1:34" ht="12.95" customHeight="1" x14ac:dyDescent="0.25">
      <c r="A737" s="52"/>
      <c r="B737" s="88"/>
      <c r="C737" s="55"/>
      <c r="D737" s="55"/>
      <c r="E737" s="52"/>
      <c r="F737" s="63"/>
      <c r="G737" s="52"/>
      <c r="H737" s="52"/>
      <c r="I737" s="52"/>
      <c r="J737" s="52"/>
      <c r="K737" s="52"/>
      <c r="L737" s="59">
        <v>0.8</v>
      </c>
      <c r="M737" s="59">
        <v>0.98</v>
      </c>
      <c r="N737" s="52"/>
      <c r="O737" s="52"/>
      <c r="P737" s="52"/>
      <c r="Q737" s="52"/>
      <c r="R737" s="52"/>
      <c r="S737" s="60">
        <v>0.39</v>
      </c>
      <c r="T737" s="48">
        <f>ROUND((L737*I735+1.3*L737*K735+S737*H735),4)</f>
        <v>292.8</v>
      </c>
      <c r="U737" s="48">
        <f>ROUND((M737*0.9*I735+1.3*M737*0.9*K735+S737*H735),4)</f>
        <v>320.4135</v>
      </c>
      <c r="V737" s="48">
        <f>ROUND((M737*I735+1.3*M737*K735+S737*H735),4)</f>
        <v>353.41500000000002</v>
      </c>
      <c r="W737" s="48">
        <f>ROUND((L737*J735+1.3*L737*N735+S737*G735),4)</f>
        <v>23.94</v>
      </c>
      <c r="X737" s="48">
        <f>ROUND((M737*0.9*J735+1.3*M737*0.9*N735+S737*G735),4)</f>
        <v>26.154</v>
      </c>
      <c r="Y737" s="48">
        <f>ROUND((M737*J735+1.3*M737*N735+S737*G735),4)</f>
        <v>28.8</v>
      </c>
      <c r="Z737" s="49">
        <f>ROUND((P735*T737*F735*O735/1000000),4)</f>
        <v>3.5099999999999999E-2</v>
      </c>
      <c r="AA737" s="49">
        <f>ROUND((Q735*U737*F735*O735/1000000),4)</f>
        <v>9.5999999999999992E-3</v>
      </c>
      <c r="AB737" s="49">
        <f>ROUND((R735*V737*F735*O735/1000000),4)</f>
        <v>1.06E-2</v>
      </c>
      <c r="AC737" s="50" t="s">
        <v>203</v>
      </c>
      <c r="AD737" s="51" t="s">
        <v>204</v>
      </c>
      <c r="AE737" s="44">
        <f>ROUND((((X737*E735)/1800)),4)</f>
        <v>1.4500000000000001E-2</v>
      </c>
      <c r="AF737" s="44">
        <f>ROUND(((Z737+AA737+AB737)),5)</f>
        <v>5.5300000000000002E-2</v>
      </c>
    </row>
    <row r="738" spans="1:34" ht="12.95" customHeight="1" x14ac:dyDescent="0.25">
      <c r="A738" s="52"/>
      <c r="B738" s="88"/>
      <c r="C738" s="52"/>
      <c r="D738" s="52"/>
      <c r="E738" s="52"/>
      <c r="F738" s="63"/>
      <c r="G738" s="52"/>
      <c r="H738" s="52"/>
      <c r="I738" s="52"/>
      <c r="J738" s="52"/>
      <c r="K738" s="52"/>
      <c r="L738" s="59">
        <v>1.79</v>
      </c>
      <c r="M738" s="59">
        <v>2.15</v>
      </c>
      <c r="N738" s="52"/>
      <c r="O738" s="52"/>
      <c r="P738" s="52"/>
      <c r="Q738" s="52"/>
      <c r="R738" s="52"/>
      <c r="S738" s="61">
        <v>1.24</v>
      </c>
      <c r="T738" s="48">
        <f>ROUND((L738*I735+1.3*L738*K735+S738*H735),4)</f>
        <v>677.1825</v>
      </c>
      <c r="U738" s="48">
        <f>ROUND((M738*0.9*I735+1.3*M738*0.9*K735+S738*H735),4)</f>
        <v>726.01130000000001</v>
      </c>
      <c r="V738" s="48">
        <f>ROUND((M738*I735+1.3*M738*K735+S738*H735),4)</f>
        <v>798.41250000000002</v>
      </c>
      <c r="W738" s="48">
        <f>ROUND((L738*J735+1.3*L738*N735+S738*G735),4)</f>
        <v>55.77</v>
      </c>
      <c r="X738" s="48">
        <f>ROUND((M738*0.9*J735+1.3*M738*0.9*N735+S738*G735),4)</f>
        <v>59.685000000000002</v>
      </c>
      <c r="Y738" s="48">
        <f>ROUND((M738*J735+1.3*N735+S738*G735),4)</f>
        <v>50.54</v>
      </c>
      <c r="Z738" s="49">
        <f>ROUND((P735*T738*F735*O735/1000000),4)</f>
        <v>8.1299999999999997E-2</v>
      </c>
      <c r="AA738" s="49">
        <f>ROUND((Q735*U738*F735*O735/1000000),4)</f>
        <v>2.18E-2</v>
      </c>
      <c r="AB738" s="49">
        <f>ROUND((R735*V738*F735*O735/1000000),4)</f>
        <v>2.4E-2</v>
      </c>
      <c r="AC738" s="50" t="s">
        <v>205</v>
      </c>
      <c r="AD738" s="51" t="s">
        <v>206</v>
      </c>
      <c r="AE738" s="44">
        <f>ROUND((((X738*E735)/1800)),4)</f>
        <v>3.32E-2</v>
      </c>
      <c r="AF738" s="44">
        <f>ROUND(((Z738+AA738+AB738)),4)</f>
        <v>0.12709999999999999</v>
      </c>
    </row>
    <row r="739" spans="1:34" ht="12.95" customHeight="1" x14ac:dyDescent="0.25">
      <c r="A739" s="52"/>
      <c r="B739" s="53"/>
      <c r="C739" s="52"/>
      <c r="D739" s="52"/>
      <c r="E739" s="52"/>
      <c r="F739" s="63"/>
      <c r="G739" s="52"/>
      <c r="H739" s="52"/>
      <c r="I739" s="52"/>
      <c r="J739" s="52"/>
      <c r="K739" s="52"/>
      <c r="L739" s="59">
        <v>1.1299999999999999</v>
      </c>
      <c r="M739" s="59">
        <v>1.7</v>
      </c>
      <c r="N739" s="52"/>
      <c r="O739" s="52"/>
      <c r="P739" s="52"/>
      <c r="Q739" s="52"/>
      <c r="R739" s="52"/>
      <c r="S739" s="61">
        <v>0.26</v>
      </c>
      <c r="T739" s="48">
        <f>ROUND((L739*I735+1.3*L739*K735+S739*H735),4)</f>
        <v>396.1275</v>
      </c>
      <c r="U739" s="48">
        <f>ROUND((M739*0.9*I735+1.3*M739*0.9*K735+S739*H735),4)</f>
        <v>530.82749999999999</v>
      </c>
      <c r="V739" s="48">
        <f>ROUND((M739*I735+1.3*M739*K735+S739*H735),4)</f>
        <v>588.07500000000005</v>
      </c>
      <c r="W739" s="48">
        <f>ROUND((L739*J735+1.3*L739*N735+S739*G735),4)</f>
        <v>32.07</v>
      </c>
      <c r="X739" s="48">
        <f>ROUND((M739*0.9*J735+1.3*M739*0.9*N735+S739*G735),4)</f>
        <v>42.87</v>
      </c>
      <c r="Y739" s="48">
        <f>ROUND((M739*J735+1.3*M739*N735+S739*G735),4)</f>
        <v>47.46</v>
      </c>
      <c r="Z739" s="49">
        <f>ROUND((P735*T739*F735*O735/1000000),4)</f>
        <v>4.7500000000000001E-2</v>
      </c>
      <c r="AA739" s="49">
        <f>ROUND((Q735*U739*F735*O735/1000000),4)</f>
        <v>1.5900000000000001E-2</v>
      </c>
      <c r="AB739" s="49">
        <f>ROUND((R735*V739*F735*O735/1000000),4)</f>
        <v>1.7600000000000001E-2</v>
      </c>
      <c r="AC739" s="50" t="s">
        <v>250</v>
      </c>
      <c r="AD739" s="51" t="s">
        <v>208</v>
      </c>
      <c r="AE739" s="44">
        <f>ROUND((((X739*E735)/1800)),4)</f>
        <v>2.3800000000000002E-2</v>
      </c>
      <c r="AF739" s="44">
        <f>ROUND(((Z739+AA739+AB739)),4)</f>
        <v>8.1000000000000003E-2</v>
      </c>
    </row>
    <row r="740" spans="1:34" ht="12.95" customHeight="1" x14ac:dyDescent="0.25">
      <c r="A740" s="52"/>
      <c r="B740" s="62"/>
      <c r="C740" s="56"/>
      <c r="D740" s="56"/>
      <c r="E740" s="56"/>
      <c r="F740" s="66"/>
      <c r="G740" s="56"/>
      <c r="H740" s="56"/>
      <c r="I740" s="56"/>
      <c r="J740" s="56"/>
      <c r="K740" s="56"/>
      <c r="L740" s="59">
        <v>5.3</v>
      </c>
      <c r="M740" s="59">
        <v>6.47</v>
      </c>
      <c r="N740" s="56"/>
      <c r="O740" s="56"/>
      <c r="P740" s="56"/>
      <c r="Q740" s="56"/>
      <c r="R740" s="56"/>
      <c r="S740" s="61">
        <v>9.92</v>
      </c>
      <c r="T740" s="48">
        <f>ROUND((L740*I735+1.3*L740*K735+S740*H735),4)</f>
        <v>2379.9749999999999</v>
      </c>
      <c r="U740" s="48">
        <f>ROUND((M740*0.9*I735+1.3*M740*0.9*K735+S740*H735),4)</f>
        <v>2556.0953</v>
      </c>
      <c r="V740" s="48">
        <f>ROUND((M740*I735+1.3*M740*K735+S740*H735),4)</f>
        <v>2773.9724999999999</v>
      </c>
      <c r="W740" s="48">
        <f>ROUND((L740*J735+1.3*L740*N735+S740*G735),4)</f>
        <v>202.62</v>
      </c>
      <c r="X740" s="48">
        <f>ROUND((M740*0.9*J735+1.3*M740*0.9*N735+S740*G735),4)</f>
        <v>216.74100000000001</v>
      </c>
      <c r="Y740" s="48">
        <f>ROUND((M740*J735+1.3*M740*N735+S740*G735),4)</f>
        <v>234.21</v>
      </c>
      <c r="Z740" s="49">
        <f>ROUND((P735*T740*F735*O735/1000000),4)</f>
        <v>0.28560000000000002</v>
      </c>
      <c r="AA740" s="49">
        <f>ROUND((Q735*U740*F735*O735/1000000),4)</f>
        <v>7.6700000000000004E-2</v>
      </c>
      <c r="AB740" s="49">
        <f>ROUND((R735*V740*F735*O735/1000000),4)</f>
        <v>8.3199999999999996E-2</v>
      </c>
      <c r="AC740" s="50" t="s">
        <v>170</v>
      </c>
      <c r="AD740" s="51" t="s">
        <v>162</v>
      </c>
      <c r="AE740" s="44">
        <f>ROUND((((X740*E735)/1800)),4)</f>
        <v>0.12039999999999999</v>
      </c>
      <c r="AF740" s="44">
        <f>ROUND(((Z740+AA740+AB740)),4)</f>
        <v>0.44550000000000001</v>
      </c>
    </row>
    <row r="741" spans="1:34" ht="12.95" customHeight="1" x14ac:dyDescent="0.25">
      <c r="A741" s="52"/>
      <c r="B741" s="67" t="s">
        <v>223</v>
      </c>
      <c r="C741" s="46">
        <v>1</v>
      </c>
      <c r="D741" s="45" t="s">
        <v>225</v>
      </c>
      <c r="E741" s="45">
        <v>1</v>
      </c>
      <c r="F741" s="45">
        <v>1</v>
      </c>
      <c r="G741" s="45">
        <v>6</v>
      </c>
      <c r="H741" s="45">
        <v>60</v>
      </c>
      <c r="I741" s="45">
        <f>(8-1-0.75*2)*60*F741-K741-8*0.12*60</f>
        <v>57.900000000000006</v>
      </c>
      <c r="J741" s="45">
        <v>14</v>
      </c>
      <c r="K741" s="45">
        <f>(8-1-0.75*2)*0.65*60*F741</f>
        <v>214.5</v>
      </c>
      <c r="L741" s="48">
        <v>0.47</v>
      </c>
      <c r="M741" s="48">
        <v>0.47</v>
      </c>
      <c r="N741" s="45">
        <v>10</v>
      </c>
      <c r="O741" s="45">
        <f>E741/F741</f>
        <v>1</v>
      </c>
      <c r="P741" s="45">
        <v>120</v>
      </c>
      <c r="Q741" s="45">
        <v>30</v>
      </c>
      <c r="R741" s="47">
        <v>0</v>
      </c>
      <c r="S741" s="47">
        <v>0.09</v>
      </c>
      <c r="T741" s="48">
        <f>ROUND((L741*I741+1.3*L741*K741+S741*H741),4)</f>
        <v>163.67250000000001</v>
      </c>
      <c r="U741" s="48">
        <f>ROUND((M741*I741+1.3*M741*K741+S741*H741),4)</f>
        <v>163.67250000000001</v>
      </c>
      <c r="V741" s="48">
        <f>ROUND((M741*I741+1.3*M741*K741+S741*H741),4)</f>
        <v>163.67250000000001</v>
      </c>
      <c r="W741" s="48">
        <f>ROUND((L741*J741+1.3*L741*N741+S741*G741),4)</f>
        <v>13.23</v>
      </c>
      <c r="X741" s="48">
        <f>ROUND((M741*J741+1.3*M741*N741+S741*G741),4)</f>
        <v>13.23</v>
      </c>
      <c r="Y741" s="48">
        <f>ROUND((M741*J741+1.3*M741*N741+S741*G741),4)</f>
        <v>13.23</v>
      </c>
      <c r="Z741" s="49">
        <f>ROUND((P741*T741*F741*O741/1000000),4)</f>
        <v>1.9599999999999999E-2</v>
      </c>
      <c r="AA741" s="49">
        <f>ROUND((Q741*U741*F741*O741/1000000),4)</f>
        <v>4.8999999999999998E-3</v>
      </c>
      <c r="AB741" s="49">
        <f>ROUND((R741*V741*F741*O741/1000000),4)</f>
        <v>0</v>
      </c>
      <c r="AC741" s="50" t="s">
        <v>200</v>
      </c>
      <c r="AD741" s="51" t="s">
        <v>153</v>
      </c>
      <c r="AE741" s="44">
        <f>ROUND((((X741*E741)/1800)*0.8),4)</f>
        <v>5.8999999999999999E-3</v>
      </c>
      <c r="AF741" s="44">
        <f>ROUND(((Z741+AA741+AB741)*0.8),4)</f>
        <v>1.9599999999999999E-2</v>
      </c>
      <c r="AG741" s="88"/>
      <c r="AH741" s="88"/>
    </row>
    <row r="742" spans="1:34" ht="12.95" customHeight="1" x14ac:dyDescent="0.25">
      <c r="A742" s="52"/>
      <c r="B742" s="53" t="s">
        <v>224</v>
      </c>
      <c r="C742" s="52"/>
      <c r="D742" s="52"/>
      <c r="E742" s="52"/>
      <c r="F742" s="63"/>
      <c r="G742" s="52"/>
      <c r="H742" s="52"/>
      <c r="I742" s="52"/>
      <c r="J742" s="52"/>
      <c r="K742" s="52"/>
      <c r="L742" s="56"/>
      <c r="M742" s="56"/>
      <c r="N742" s="52"/>
      <c r="O742" s="52"/>
      <c r="P742" s="52"/>
      <c r="Q742" s="52"/>
      <c r="R742" s="52"/>
      <c r="S742" s="57"/>
      <c r="T742" s="54"/>
      <c r="U742" s="54"/>
      <c r="V742" s="54"/>
      <c r="W742" s="54"/>
      <c r="X742" s="54"/>
      <c r="Y742" s="54"/>
      <c r="Z742" s="54"/>
      <c r="AA742" s="54"/>
      <c r="AB742" s="54"/>
      <c r="AC742" s="50" t="s">
        <v>201</v>
      </c>
      <c r="AD742" s="51" t="s">
        <v>202</v>
      </c>
      <c r="AE742" s="44">
        <f>ROUND((((X741*E741)/1800)*0.13),4)</f>
        <v>1E-3</v>
      </c>
      <c r="AF742" s="44">
        <f>ROUND(((Z741+AA741+AB741)*0.13),4)</f>
        <v>3.2000000000000002E-3</v>
      </c>
      <c r="AG742" s="88"/>
      <c r="AH742" s="88"/>
    </row>
    <row r="743" spans="1:34" ht="12.95" customHeight="1" x14ac:dyDescent="0.25">
      <c r="A743" s="52"/>
      <c r="B743" s="88"/>
      <c r="C743" s="55"/>
      <c r="D743" s="55"/>
      <c r="E743" s="52"/>
      <c r="F743" s="63"/>
      <c r="G743" s="52"/>
      <c r="H743" s="52"/>
      <c r="I743" s="52"/>
      <c r="J743" s="52"/>
      <c r="K743" s="52"/>
      <c r="L743" s="59">
        <v>0.8</v>
      </c>
      <c r="M743" s="59">
        <v>0.98</v>
      </c>
      <c r="N743" s="52"/>
      <c r="O743" s="52"/>
      <c r="P743" s="52"/>
      <c r="Q743" s="52"/>
      <c r="R743" s="52"/>
      <c r="S743" s="60">
        <v>1.7999999999999999E-2</v>
      </c>
      <c r="T743" s="48">
        <f>ROUND((L743*I741+1.3*L743*K741+S743*H741),4)</f>
        <v>270.48</v>
      </c>
      <c r="U743" s="48">
        <f>ROUND((M743*0.9*I741+1.3*M743*0.9*K741+S743*H741),4)</f>
        <v>298.09350000000001</v>
      </c>
      <c r="V743" s="48">
        <f>ROUND((M743*I741+1.3*M743*K741+S743*H741),4)</f>
        <v>331.09500000000003</v>
      </c>
      <c r="W743" s="48">
        <f>ROUND((L743*J741+1.3*L743*N741+S743*G741),4)</f>
        <v>21.707999999999998</v>
      </c>
      <c r="X743" s="48">
        <f>ROUND((M743*0.9*J741+1.3*M743*0.9*N741+S743*G741),4)</f>
        <v>23.922000000000001</v>
      </c>
      <c r="Y743" s="48">
        <f>ROUND((M743*J741+1.3*M743*N741+S743*G741),4)</f>
        <v>26.568000000000001</v>
      </c>
      <c r="Z743" s="49">
        <f>ROUND((P741*T743*F741*O741/1000000),4)</f>
        <v>3.2500000000000001E-2</v>
      </c>
      <c r="AA743" s="49">
        <f>ROUND((Q741*U743*F741*O741/1000000),4)</f>
        <v>8.8999999999999999E-3</v>
      </c>
      <c r="AB743" s="49">
        <f>ROUND((R741*V743*F741*O741/1000000),4)</f>
        <v>0</v>
      </c>
      <c r="AC743" s="50" t="s">
        <v>203</v>
      </c>
      <c r="AD743" s="51" t="s">
        <v>204</v>
      </c>
      <c r="AE743" s="44">
        <f>ROUND((((X743*E741)/1800)),4)</f>
        <v>1.3299999999999999E-2</v>
      </c>
      <c r="AF743" s="44">
        <f>ROUND(((Z743+AA743+AB743)),5)</f>
        <v>4.1399999999999999E-2</v>
      </c>
      <c r="AG743" s="88"/>
      <c r="AH743" s="88"/>
    </row>
    <row r="744" spans="1:34" ht="12.95" customHeight="1" x14ac:dyDescent="0.25">
      <c r="A744" s="52"/>
      <c r="B744" s="88"/>
      <c r="C744" s="52"/>
      <c r="D744" s="52"/>
      <c r="E744" s="52"/>
      <c r="F744" s="63"/>
      <c r="G744" s="52"/>
      <c r="H744" s="52"/>
      <c r="I744" s="52"/>
      <c r="J744" s="52"/>
      <c r="K744" s="52"/>
      <c r="L744" s="59">
        <v>0.08</v>
      </c>
      <c r="M744" s="59">
        <v>0.1</v>
      </c>
      <c r="N744" s="52"/>
      <c r="O744" s="52"/>
      <c r="P744" s="52"/>
      <c r="Q744" s="52"/>
      <c r="R744" s="52"/>
      <c r="S744" s="61">
        <v>0.06</v>
      </c>
      <c r="T744" s="48">
        <f>ROUND((L744*I741+1.3*L744*K741+S744*H741),4)</f>
        <v>30.54</v>
      </c>
      <c r="U744" s="48">
        <f>ROUND((M744*0.9*I741+1.3*M744*0.9*K741+S744*H741),4)</f>
        <v>33.907499999999999</v>
      </c>
      <c r="V744" s="48">
        <f>ROUND((M744*I741+1.3*M744*K741+S744*H741),4)</f>
        <v>37.274999999999999</v>
      </c>
      <c r="W744" s="48">
        <f>ROUND((L744*J741+1.3*L744*N741+S744*G741),4)</f>
        <v>2.52</v>
      </c>
      <c r="X744" s="48">
        <f>ROUND((M744*0.9*J741+1.3*M744*0.9*N741+S744*G741),4)</f>
        <v>2.79</v>
      </c>
      <c r="Y744" s="48">
        <f>ROUND((M744*J741+1.3*N741+S744*G741),4)</f>
        <v>14.76</v>
      </c>
      <c r="Z744" s="49">
        <f>ROUND((P741*T744*F741*O741/1000000),4)</f>
        <v>3.7000000000000002E-3</v>
      </c>
      <c r="AA744" s="49">
        <f>ROUND((Q741*U744*F741*O741/1000000),4)</f>
        <v>1E-3</v>
      </c>
      <c r="AB744" s="49">
        <f>ROUND((R741*V744*F741*O741/1000000),4)</f>
        <v>0</v>
      </c>
      <c r="AC744" s="50" t="s">
        <v>205</v>
      </c>
      <c r="AD744" s="51" t="s">
        <v>206</v>
      </c>
      <c r="AE744" s="44">
        <f>ROUND((((X744*E741)/1800)),4)</f>
        <v>1.6000000000000001E-3</v>
      </c>
      <c r="AF744" s="44">
        <f>ROUND(((Z744+AA744+AB744)),4)</f>
        <v>4.7000000000000002E-3</v>
      </c>
      <c r="AG744" s="88"/>
      <c r="AH744" s="88"/>
    </row>
    <row r="745" spans="1:34" ht="12.95" customHeight="1" x14ac:dyDescent="0.25">
      <c r="A745" s="52"/>
      <c r="B745" s="53"/>
      <c r="C745" s="52"/>
      <c r="D745" s="52"/>
      <c r="E745" s="52"/>
      <c r="F745" s="63"/>
      <c r="G745" s="52"/>
      <c r="H745" s="52"/>
      <c r="I745" s="52"/>
      <c r="J745" s="52"/>
      <c r="K745" s="52"/>
      <c r="L745" s="59">
        <v>0.05</v>
      </c>
      <c r="M745" s="59">
        <v>7.0000000000000007E-2</v>
      </c>
      <c r="N745" s="52"/>
      <c r="O745" s="52"/>
      <c r="P745" s="52"/>
      <c r="Q745" s="52"/>
      <c r="R745" s="52"/>
      <c r="S745" s="61">
        <v>0.01</v>
      </c>
      <c r="T745" s="48">
        <f>ROUND((L745*I741+1.3*L745*K741+S745*H741),4)</f>
        <v>17.4375</v>
      </c>
      <c r="U745" s="48">
        <f>ROUND((M745*0.9*I741+1.3*M745*0.9*K741+S745*H741),4)</f>
        <v>21.815300000000001</v>
      </c>
      <c r="V745" s="48">
        <f>ROUND((M745*I741+1.3*M745*K741+S745*H741),4)</f>
        <v>24.172499999999999</v>
      </c>
      <c r="W745" s="48">
        <f>ROUND((L745*J741+1.3*L745*N741+S745*G741),4)</f>
        <v>1.41</v>
      </c>
      <c r="X745" s="48">
        <f>ROUND((M745*0.9*J741+1.3*M745*0.9*N741+S745*G741),4)</f>
        <v>1.7609999999999999</v>
      </c>
      <c r="Y745" s="48">
        <f>ROUND((M745*J741+1.3*M745*N741+S745*G741),4)</f>
        <v>1.95</v>
      </c>
      <c r="Z745" s="49">
        <f>ROUND((P741*T745*F741*O741/1000000),4)</f>
        <v>2.0999999999999999E-3</v>
      </c>
      <c r="AA745" s="49">
        <f>ROUND((Q741*U745*F741*O741/1000000),4)</f>
        <v>6.9999999999999999E-4</v>
      </c>
      <c r="AB745" s="49">
        <f>ROUND((R741*V745*F741*O741/1000000),4)</f>
        <v>0</v>
      </c>
      <c r="AC745" s="50" t="s">
        <v>250</v>
      </c>
      <c r="AD745" s="51" t="s">
        <v>208</v>
      </c>
      <c r="AE745" s="44">
        <f>ROUND((((X745*E741)/1800)),4)</f>
        <v>1E-3</v>
      </c>
      <c r="AF745" s="44">
        <f>ROUND(((Z745+AA745+AB745)),4)</f>
        <v>2.8E-3</v>
      </c>
      <c r="AG745" s="88"/>
      <c r="AH745" s="88"/>
    </row>
    <row r="746" spans="1:34" ht="12.95" customHeight="1" x14ac:dyDescent="0.25">
      <c r="A746" s="52"/>
      <c r="B746" s="62"/>
      <c r="C746" s="56"/>
      <c r="D746" s="56"/>
      <c r="E746" s="56"/>
      <c r="F746" s="66"/>
      <c r="G746" s="56"/>
      <c r="H746" s="56"/>
      <c r="I746" s="56"/>
      <c r="J746" s="56"/>
      <c r="K746" s="56"/>
      <c r="L746" s="59">
        <v>3.5999999999999997E-2</v>
      </c>
      <c r="M746" s="59">
        <v>4.3999999999999997E-2</v>
      </c>
      <c r="N746" s="56"/>
      <c r="O746" s="56"/>
      <c r="P746" s="56"/>
      <c r="Q746" s="56"/>
      <c r="R746" s="56"/>
      <c r="S746" s="61">
        <v>0.45</v>
      </c>
      <c r="T746" s="48">
        <f>ROUND((L746*I741+1.3*L746*K741+S746*H741),4)</f>
        <v>39.122999999999998</v>
      </c>
      <c r="U746" s="48">
        <f>ROUND((M746*0.9*I741+1.3*M746*0.9*K741+S746*H741),4)</f>
        <v>40.335299999999997</v>
      </c>
      <c r="V746" s="48">
        <f>ROUND((M746*I741+1.3*M746*K741+S746*H741),4)</f>
        <v>41.817</v>
      </c>
      <c r="W746" s="48">
        <f>ROUND((L746*J741+1.3*L746*N741+S746*G741),4)</f>
        <v>3.6720000000000002</v>
      </c>
      <c r="X746" s="48">
        <f>ROUND((M746*0.9*J741+1.3*M746*0.9*N741+S746*G741),4)</f>
        <v>3.7692000000000001</v>
      </c>
      <c r="Y746" s="48">
        <f>ROUND((M746*J741+1.3*M746*N741+S746*G741),4)</f>
        <v>3.8879999999999999</v>
      </c>
      <c r="Z746" s="49">
        <f>ROUND((P741*T746*F741*O741/1000000),4)</f>
        <v>4.7000000000000002E-3</v>
      </c>
      <c r="AA746" s="49">
        <f>ROUND((Q741*U746*F741*O741/1000000),4)</f>
        <v>1.1999999999999999E-3</v>
      </c>
      <c r="AB746" s="49">
        <f>ROUND((R741*V746*F741*O741/1000000),4)</f>
        <v>0</v>
      </c>
      <c r="AC746" s="50" t="s">
        <v>170</v>
      </c>
      <c r="AD746" s="51" t="s">
        <v>162</v>
      </c>
      <c r="AE746" s="44">
        <f>ROUND((((X746*E741)/1800)),4)</f>
        <v>2.0999999999999999E-3</v>
      </c>
      <c r="AF746" s="44">
        <f>ROUND(((Z746+AA746+AB746)),4)</f>
        <v>5.8999999999999999E-3</v>
      </c>
      <c r="AG746" s="88"/>
      <c r="AH746" s="88"/>
    </row>
    <row r="747" spans="1:34" ht="12.95" customHeight="1" x14ac:dyDescent="0.25">
      <c r="A747" s="89"/>
      <c r="B747" s="46" t="s">
        <v>231</v>
      </c>
      <c r="C747" s="46">
        <v>6</v>
      </c>
      <c r="D747" s="45" t="s">
        <v>210</v>
      </c>
      <c r="E747" s="45">
        <v>1</v>
      </c>
      <c r="F747" s="45">
        <v>1</v>
      </c>
      <c r="G747" s="45">
        <v>6</v>
      </c>
      <c r="H747" s="45">
        <v>60</v>
      </c>
      <c r="I747" s="45">
        <f>(8-1-0.75*2)*60*F747-K747-8*0.12*60</f>
        <v>57.900000000000006</v>
      </c>
      <c r="J747" s="45">
        <v>14</v>
      </c>
      <c r="K747" s="45">
        <f>(8-1-0.75*2)*0.65*60*F747</f>
        <v>214.5</v>
      </c>
      <c r="L747" s="48">
        <v>6.47</v>
      </c>
      <c r="M747" s="48">
        <v>6.47</v>
      </c>
      <c r="N747" s="45">
        <v>10</v>
      </c>
      <c r="O747" s="45">
        <f>E747/F747</f>
        <v>1</v>
      </c>
      <c r="P747" s="45">
        <v>10</v>
      </c>
      <c r="Q747" s="45">
        <v>0</v>
      </c>
      <c r="R747" s="47">
        <v>0</v>
      </c>
      <c r="S747" s="47">
        <v>1.27</v>
      </c>
      <c r="T747" s="48">
        <f>ROUND((L747*I747+1.3*L747*K747+S747*H747),4)</f>
        <v>2254.9724999999999</v>
      </c>
      <c r="U747" s="48">
        <f>ROUND((M747*I747+1.3*M747*K747+S747*H747),4)</f>
        <v>2254.9724999999999</v>
      </c>
      <c r="V747" s="48">
        <f>ROUND((M747*I747+1.3*M747*K747+S747*H747),4)</f>
        <v>2254.9724999999999</v>
      </c>
      <c r="W747" s="48">
        <f>ROUND((L747*J747+1.3*L747*N747+S747*G747),4)</f>
        <v>182.31</v>
      </c>
      <c r="X747" s="48">
        <f>ROUND((M747*J747+1.3*M747*N747+S747*G747),4)</f>
        <v>182.31</v>
      </c>
      <c r="Y747" s="48">
        <f>ROUND((M747*J747+1.3*M747*N747+S747*G747),4)</f>
        <v>182.31</v>
      </c>
      <c r="Z747" s="49">
        <f>ROUND((P747*T747*F747*O747/1000000),4)</f>
        <v>2.2499999999999999E-2</v>
      </c>
      <c r="AA747" s="49">
        <f>ROUND((Q747*U747*F747*O747/1000000),4)</f>
        <v>0</v>
      </c>
      <c r="AB747" s="49">
        <f>ROUND((R747*V747*F747*O747/1000000),4)</f>
        <v>0</v>
      </c>
      <c r="AC747" s="50" t="s">
        <v>200</v>
      </c>
      <c r="AD747" s="51" t="s">
        <v>153</v>
      </c>
      <c r="AE747" s="44">
        <f>ROUND((((X747*E747)/1800)*0.8),4)</f>
        <v>8.1000000000000003E-2</v>
      </c>
      <c r="AF747" s="44">
        <f>ROUND(((Z747+AA747+AB747)*0.8),4)</f>
        <v>1.7999999999999999E-2</v>
      </c>
      <c r="AG747" s="88"/>
      <c r="AH747" s="88"/>
    </row>
    <row r="748" spans="1:34" ht="12.95" customHeight="1" x14ac:dyDescent="0.25">
      <c r="A748" s="89"/>
      <c r="B748" s="53" t="s">
        <v>232</v>
      </c>
      <c r="C748" s="52"/>
      <c r="D748" s="52"/>
      <c r="E748" s="52"/>
      <c r="F748" s="63"/>
      <c r="G748" s="52"/>
      <c r="H748" s="52"/>
      <c r="I748" s="52"/>
      <c r="J748" s="52"/>
      <c r="K748" s="52"/>
      <c r="L748" s="56"/>
      <c r="M748" s="56"/>
      <c r="N748" s="52"/>
      <c r="O748" s="52"/>
      <c r="P748" s="52"/>
      <c r="Q748" s="52"/>
      <c r="R748" s="52"/>
      <c r="S748" s="57"/>
      <c r="T748" s="54"/>
      <c r="U748" s="54"/>
      <c r="V748" s="54"/>
      <c r="W748" s="54"/>
      <c r="X748" s="54"/>
      <c r="Y748" s="54"/>
      <c r="Z748" s="54"/>
      <c r="AA748" s="54"/>
      <c r="AB748" s="54"/>
      <c r="AC748" s="50" t="s">
        <v>201</v>
      </c>
      <c r="AD748" s="51" t="s">
        <v>202</v>
      </c>
      <c r="AE748" s="44">
        <f>ROUND((((X747*E747)/1800)*0.13),4)</f>
        <v>1.32E-2</v>
      </c>
      <c r="AF748" s="44">
        <f>ROUND(((Z747+AA747+AB747)*0.13),4)</f>
        <v>2.8999999999999998E-3</v>
      </c>
      <c r="AG748" s="88"/>
      <c r="AH748" s="88"/>
    </row>
    <row r="749" spans="1:34" ht="12.95" customHeight="1" x14ac:dyDescent="0.25">
      <c r="A749" s="89"/>
      <c r="B749" s="67"/>
      <c r="C749" s="55"/>
      <c r="D749" s="55"/>
      <c r="E749" s="52"/>
      <c r="F749" s="63"/>
      <c r="G749" s="52"/>
      <c r="H749" s="52"/>
      <c r="I749" s="52"/>
      <c r="J749" s="52"/>
      <c r="K749" s="52"/>
      <c r="L749" s="59">
        <v>0.51</v>
      </c>
      <c r="M749" s="59">
        <v>0.63</v>
      </c>
      <c r="N749" s="52"/>
      <c r="O749" s="52"/>
      <c r="P749" s="52"/>
      <c r="Q749" s="52"/>
      <c r="R749" s="52"/>
      <c r="S749" s="60">
        <v>0.25</v>
      </c>
      <c r="T749" s="48">
        <f>ROUND((L749*I747+1.3*L749*K747+S749*H747),4)</f>
        <v>186.74250000000001</v>
      </c>
      <c r="U749" s="48">
        <f>ROUND((M749*0.9*I747+1.3*M749*0.9*K747+S749*H747),4)</f>
        <v>205.93729999999999</v>
      </c>
      <c r="V749" s="48">
        <f>ROUND((M749*I747+1.3*M749*K747+S749*H747),4)</f>
        <v>227.1525</v>
      </c>
      <c r="W749" s="48">
        <f>ROUND((L749*J747+1.3*L749*N747+S749*G747),4)</f>
        <v>15.27</v>
      </c>
      <c r="X749" s="48">
        <f>ROUND((M749*0.9*J747+1.3*M749*0.9*N747+S749*G747),4)</f>
        <v>16.809000000000001</v>
      </c>
      <c r="Y749" s="48">
        <f>ROUND((M749*J747+1.3*M749*N747+S749*G747),4)</f>
        <v>18.510000000000002</v>
      </c>
      <c r="Z749" s="49">
        <f>ROUND((P747*T749*F747*O747/1000000),4)</f>
        <v>1.9E-3</v>
      </c>
      <c r="AA749" s="49">
        <f>ROUND((Q747*U749*F747*O747/1000000),4)</f>
        <v>0</v>
      </c>
      <c r="AB749" s="49">
        <f>ROUND((R747*V749*F747*O747/1000000),4)</f>
        <v>0</v>
      </c>
      <c r="AC749" s="50" t="s">
        <v>203</v>
      </c>
      <c r="AD749" s="51" t="s">
        <v>204</v>
      </c>
      <c r="AE749" s="44">
        <f>ROUND((((X749*E747)/1800)),4)</f>
        <v>9.2999999999999992E-3</v>
      </c>
      <c r="AF749" s="44">
        <f>ROUND(((Z749+AA749+AB749)),5)</f>
        <v>1.9E-3</v>
      </c>
      <c r="AG749" s="88"/>
      <c r="AH749" s="88"/>
    </row>
    <row r="750" spans="1:34" ht="12.95" customHeight="1" x14ac:dyDescent="0.25">
      <c r="A750" s="89"/>
      <c r="B750" s="53"/>
      <c r="C750" s="52"/>
      <c r="D750" s="52"/>
      <c r="E750" s="52"/>
      <c r="F750" s="63"/>
      <c r="G750" s="52"/>
      <c r="H750" s="52"/>
      <c r="I750" s="52"/>
      <c r="J750" s="52"/>
      <c r="K750" s="52"/>
      <c r="L750" s="59">
        <v>1.1399999999999999</v>
      </c>
      <c r="M750" s="59">
        <v>1.37</v>
      </c>
      <c r="N750" s="52"/>
      <c r="O750" s="52"/>
      <c r="P750" s="52"/>
      <c r="Q750" s="52"/>
      <c r="R750" s="52"/>
      <c r="S750" s="61">
        <v>0.79</v>
      </c>
      <c r="T750" s="48">
        <f>ROUND((L750*I747+1.3*L750*K747+S750*H747),4)</f>
        <v>431.29500000000002</v>
      </c>
      <c r="U750" s="48">
        <f>ROUND((M750*0.9*I747+1.3*M750*0.9*K747+S750*H747),4)</f>
        <v>462.61279999999999</v>
      </c>
      <c r="V750" s="48">
        <f>ROUND((M750*I747+1.3*M750*K747+S750*H747),4)</f>
        <v>508.7475</v>
      </c>
      <c r="W750" s="48">
        <f>ROUND((L750*J747+1.3*L750*N747+S750*G747),4)</f>
        <v>35.520000000000003</v>
      </c>
      <c r="X750" s="48">
        <f>ROUND((M750*0.9*J747+1.3*M750*0.9*N747+S750*G747),4)</f>
        <v>38.030999999999999</v>
      </c>
      <c r="Y750" s="48">
        <f>ROUND((M750*J747+1.3*N747+S750*G747),4)</f>
        <v>36.92</v>
      </c>
      <c r="Z750" s="49">
        <f>ROUND((P747*T750*F747*O747/1000000),4)</f>
        <v>4.3E-3</v>
      </c>
      <c r="AA750" s="49">
        <f>ROUND((Q747*U750*F747*O747/1000000),4)</f>
        <v>0</v>
      </c>
      <c r="AB750" s="49">
        <f>ROUND((R747*V750*F747*O747/1000000),4)</f>
        <v>0</v>
      </c>
      <c r="AC750" s="50" t="s">
        <v>205</v>
      </c>
      <c r="AD750" s="51" t="s">
        <v>206</v>
      </c>
      <c r="AE750" s="44">
        <f>ROUND((((X750*E747)/1800)),4)</f>
        <v>2.1100000000000001E-2</v>
      </c>
      <c r="AF750" s="44">
        <f>ROUND(((Z750+AA750+AB750)),4)</f>
        <v>4.3E-3</v>
      </c>
      <c r="AG750" s="88"/>
      <c r="AH750" s="88"/>
    </row>
    <row r="751" spans="1:34" ht="12.95" customHeight="1" x14ac:dyDescent="0.25">
      <c r="A751" s="89"/>
      <c r="B751" s="53"/>
      <c r="C751" s="52"/>
      <c r="D751" s="52"/>
      <c r="E751" s="52"/>
      <c r="F751" s="63"/>
      <c r="G751" s="52"/>
      <c r="H751" s="52"/>
      <c r="I751" s="52"/>
      <c r="J751" s="52"/>
      <c r="K751" s="52"/>
      <c r="L751" s="59">
        <v>0.72</v>
      </c>
      <c r="M751" s="59">
        <v>1.08</v>
      </c>
      <c r="N751" s="52"/>
      <c r="O751" s="52"/>
      <c r="P751" s="52"/>
      <c r="Q751" s="52"/>
      <c r="R751" s="52"/>
      <c r="S751" s="61">
        <v>0.17</v>
      </c>
      <c r="T751" s="48">
        <f>ROUND((L751*I747+1.3*L751*K747+S751*H747),4)</f>
        <v>252.66</v>
      </c>
      <c r="U751" s="48">
        <f>ROUND((M751*0.9*I747+1.3*M751*0.9*K747+S751*H747),4)</f>
        <v>337.52100000000002</v>
      </c>
      <c r="V751" s="48">
        <f>ROUND((M751*I747+1.3*M751*K747+S751*H747),4)</f>
        <v>373.89</v>
      </c>
      <c r="W751" s="48">
        <f>ROUND((L751*J747+1.3*L751*N747+S751*G747),4)</f>
        <v>20.46</v>
      </c>
      <c r="X751" s="48">
        <f>ROUND((M751*0.9*J747+1.3*M751*0.9*N747+S751*G747),4)</f>
        <v>27.263999999999999</v>
      </c>
      <c r="Y751" s="48">
        <f>ROUND((M751*J747+1.3*M751*N747+S751*G747),4)</f>
        <v>30.18</v>
      </c>
      <c r="Z751" s="49">
        <f>ROUND((P747*T751*F747*O747/1000000),4)</f>
        <v>2.5000000000000001E-3</v>
      </c>
      <c r="AA751" s="49">
        <f>ROUND((Q747*U751*F747*O747/1000000),4)</f>
        <v>0</v>
      </c>
      <c r="AB751" s="49">
        <f>ROUND((R747*V751*F747*O747/1000000),4)</f>
        <v>0</v>
      </c>
      <c r="AC751" s="50" t="s">
        <v>250</v>
      </c>
      <c r="AD751" s="51" t="s">
        <v>208</v>
      </c>
      <c r="AE751" s="44">
        <f>ROUND((((X751*E747)/1800)),4)</f>
        <v>1.5100000000000001E-2</v>
      </c>
      <c r="AF751" s="44">
        <f>ROUND(((Z751+AA751+AB751)),4)</f>
        <v>2.5000000000000001E-3</v>
      </c>
      <c r="AG751" s="88"/>
      <c r="AH751" s="88"/>
    </row>
    <row r="752" spans="1:34" ht="12.95" customHeight="1" x14ac:dyDescent="0.25">
      <c r="A752" s="89"/>
      <c r="B752" s="62"/>
      <c r="C752" s="56"/>
      <c r="D752" s="56"/>
      <c r="E752" s="56"/>
      <c r="F752" s="66"/>
      <c r="G752" s="56"/>
      <c r="H752" s="56"/>
      <c r="I752" s="56"/>
      <c r="J752" s="56"/>
      <c r="K752" s="56"/>
      <c r="L752" s="59">
        <v>3.37</v>
      </c>
      <c r="M752" s="59">
        <v>4.1100000000000003</v>
      </c>
      <c r="N752" s="56"/>
      <c r="O752" s="56"/>
      <c r="P752" s="56"/>
      <c r="Q752" s="56"/>
      <c r="R752" s="56"/>
      <c r="S752" s="61">
        <v>6.31</v>
      </c>
      <c r="T752" s="48">
        <f>ROUND((L752*I747+1.3*L752*K747+S752*H747),4)</f>
        <v>1513.4475</v>
      </c>
      <c r="U752" s="48">
        <f>ROUND((M752*0.9*I747+1.3*M752*0.9*K747+S752*H747),4)</f>
        <v>1624.2383</v>
      </c>
      <c r="V752" s="48">
        <f>ROUND((M752*I747+1.3*M752*K747+S752*H747),4)</f>
        <v>1762.6424999999999</v>
      </c>
      <c r="W752" s="48">
        <f>ROUND((L752*J747+1.3*L752*N747+S752*G747),4)</f>
        <v>128.85</v>
      </c>
      <c r="X752" s="48">
        <f>ROUND((M752*0.9*J747+1.3*M752*0.9*N747+S752*G747),4)</f>
        <v>137.733</v>
      </c>
      <c r="Y752" s="48">
        <f>ROUND((M752*J747+1.3*M752*N747+S752*G747),4)</f>
        <v>148.83000000000001</v>
      </c>
      <c r="Z752" s="49">
        <f>ROUND((P747*T752*F747*O747/1000000),4)</f>
        <v>1.5100000000000001E-2</v>
      </c>
      <c r="AA752" s="49">
        <f>ROUND((Q747*U752*F747*O747/1000000),4)</f>
        <v>0</v>
      </c>
      <c r="AB752" s="49">
        <f>ROUND((R747*V752*F747*O747/1000000),4)</f>
        <v>0</v>
      </c>
      <c r="AC752" s="50" t="s">
        <v>170</v>
      </c>
      <c r="AD752" s="51" t="s">
        <v>162</v>
      </c>
      <c r="AE752" s="44">
        <f>ROUND((((X752*E747)/1800)),4)</f>
        <v>7.6499999999999999E-2</v>
      </c>
      <c r="AF752" s="44">
        <f>ROUND(((Z752+AA752+AB752)),4)</f>
        <v>1.5100000000000001E-2</v>
      </c>
      <c r="AG752" s="88"/>
      <c r="AH752" s="88"/>
    </row>
    <row r="753" spans="1:34" ht="12.95" customHeight="1" x14ac:dyDescent="0.25">
      <c r="A753" s="89"/>
      <c r="B753" s="46" t="s">
        <v>234</v>
      </c>
      <c r="C753" s="46">
        <v>6</v>
      </c>
      <c r="D753" s="45" t="s">
        <v>210</v>
      </c>
      <c r="E753" s="45">
        <v>1</v>
      </c>
      <c r="F753" s="45">
        <v>1</v>
      </c>
      <c r="G753" s="45">
        <v>6</v>
      </c>
      <c r="H753" s="45">
        <v>60</v>
      </c>
      <c r="I753" s="45">
        <f>(8-1-0.75*2)*60*F753-K753-8*0.12*60</f>
        <v>57.900000000000006</v>
      </c>
      <c r="J753" s="45">
        <v>14</v>
      </c>
      <c r="K753" s="45">
        <f>(8-1-0.75*2)*0.65*60*F753</f>
        <v>214.5</v>
      </c>
      <c r="L753" s="48">
        <v>6.47</v>
      </c>
      <c r="M753" s="48">
        <v>6.47</v>
      </c>
      <c r="N753" s="45">
        <v>10</v>
      </c>
      <c r="O753" s="45">
        <f>E753/F753</f>
        <v>1</v>
      </c>
      <c r="P753" s="45">
        <v>30</v>
      </c>
      <c r="Q753" s="45">
        <v>0</v>
      </c>
      <c r="R753" s="47">
        <v>0</v>
      </c>
      <c r="S753" s="47">
        <v>1.27</v>
      </c>
      <c r="T753" s="48">
        <f>ROUND((L753*I753+1.3*L753*K753+S753*H753),4)</f>
        <v>2254.9724999999999</v>
      </c>
      <c r="U753" s="48">
        <f>ROUND((M753*I753+1.3*M753*K753+S753*H753),4)</f>
        <v>2254.9724999999999</v>
      </c>
      <c r="V753" s="48">
        <f>ROUND((M753*I753+1.3*M753*K753+S753*H753),4)</f>
        <v>2254.9724999999999</v>
      </c>
      <c r="W753" s="48">
        <f>ROUND((L753*J753+1.3*L753*N753+S753*G753),4)</f>
        <v>182.31</v>
      </c>
      <c r="X753" s="48">
        <f>ROUND((M753*J753+1.3*M753*N753+S753*G753),4)</f>
        <v>182.31</v>
      </c>
      <c r="Y753" s="48">
        <f>ROUND((M753*J753+1.3*M753*N753+S753*G753),4)</f>
        <v>182.31</v>
      </c>
      <c r="Z753" s="49">
        <f>ROUND((P753*T753*F753*O753/1000000),4)</f>
        <v>6.7599999999999993E-2</v>
      </c>
      <c r="AA753" s="49">
        <f>ROUND((Q753*U753*F753*O753/1000000),4)</f>
        <v>0</v>
      </c>
      <c r="AB753" s="49">
        <f>ROUND((R753*V753*F753*O753/1000000),4)</f>
        <v>0</v>
      </c>
      <c r="AC753" s="50" t="s">
        <v>200</v>
      </c>
      <c r="AD753" s="51" t="s">
        <v>153</v>
      </c>
      <c r="AE753" s="44">
        <f>ROUND((((X753*E753)/1800)*0.8),4)</f>
        <v>8.1000000000000003E-2</v>
      </c>
      <c r="AF753" s="44">
        <f>ROUND(((Z753+AA753+AB753)*0.8),4)</f>
        <v>5.4100000000000002E-2</v>
      </c>
      <c r="AG753" s="88"/>
      <c r="AH753" s="88"/>
    </row>
    <row r="754" spans="1:34" ht="12.95" customHeight="1" x14ac:dyDescent="0.25">
      <c r="A754" s="89"/>
      <c r="B754" s="53" t="s">
        <v>235</v>
      </c>
      <c r="C754" s="52"/>
      <c r="D754" s="52"/>
      <c r="E754" s="52"/>
      <c r="F754" s="63"/>
      <c r="G754" s="52"/>
      <c r="H754" s="52"/>
      <c r="I754" s="52"/>
      <c r="J754" s="52"/>
      <c r="K754" s="52"/>
      <c r="L754" s="56"/>
      <c r="M754" s="56"/>
      <c r="N754" s="52"/>
      <c r="O754" s="52"/>
      <c r="P754" s="52"/>
      <c r="Q754" s="52"/>
      <c r="R754" s="52"/>
      <c r="S754" s="57"/>
      <c r="T754" s="54"/>
      <c r="U754" s="54"/>
      <c r="V754" s="54"/>
      <c r="W754" s="54"/>
      <c r="X754" s="54"/>
      <c r="Y754" s="54"/>
      <c r="Z754" s="54"/>
      <c r="AA754" s="54"/>
      <c r="AB754" s="54"/>
      <c r="AC754" s="50" t="s">
        <v>201</v>
      </c>
      <c r="AD754" s="51" t="s">
        <v>202</v>
      </c>
      <c r="AE754" s="44">
        <f>ROUND((((X753*E753)/1800)*0.13),4)</f>
        <v>1.32E-2</v>
      </c>
      <c r="AF754" s="44">
        <f>ROUND(((Z753+AA753+AB753)*0.13),4)</f>
        <v>8.8000000000000005E-3</v>
      </c>
      <c r="AG754" s="88"/>
      <c r="AH754" s="88"/>
    </row>
    <row r="755" spans="1:34" ht="12.95" customHeight="1" x14ac:dyDescent="0.25">
      <c r="A755" s="89"/>
      <c r="B755" s="67"/>
      <c r="C755" s="55"/>
      <c r="D755" s="55"/>
      <c r="E755" s="52"/>
      <c r="F755" s="63"/>
      <c r="G755" s="52"/>
      <c r="H755" s="52"/>
      <c r="I755" s="52"/>
      <c r="J755" s="52"/>
      <c r="K755" s="52"/>
      <c r="L755" s="59">
        <v>0.51</v>
      </c>
      <c r="M755" s="59">
        <v>0.63</v>
      </c>
      <c r="N755" s="52"/>
      <c r="O755" s="52"/>
      <c r="P755" s="52"/>
      <c r="Q755" s="52"/>
      <c r="R755" s="52"/>
      <c r="S755" s="60">
        <v>0.25</v>
      </c>
      <c r="T755" s="48">
        <f>ROUND((L755*I753+1.3*L755*K753+S755*H753),4)</f>
        <v>186.74250000000001</v>
      </c>
      <c r="U755" s="48">
        <f>ROUND((M755*0.9*I753+1.3*M755*0.9*K753+S755*H753),4)</f>
        <v>205.93729999999999</v>
      </c>
      <c r="V755" s="48">
        <f>ROUND((M755*I753+1.3*M755*K753+S755*H753),4)</f>
        <v>227.1525</v>
      </c>
      <c r="W755" s="48">
        <f>ROUND((L755*J753+1.3*L755*N753+S755*G753),4)</f>
        <v>15.27</v>
      </c>
      <c r="X755" s="48">
        <f>ROUND((M755*0.9*J753+1.3*M755*0.9*N753+S755*G753),4)</f>
        <v>16.809000000000001</v>
      </c>
      <c r="Y755" s="48">
        <f>ROUND((M755*J753+1.3*M755*N753+S755*G753),4)</f>
        <v>18.510000000000002</v>
      </c>
      <c r="Z755" s="49">
        <f>ROUND((P753*T755*F753*O753/1000000),4)</f>
        <v>5.5999999999999999E-3</v>
      </c>
      <c r="AA755" s="49">
        <f>ROUND((Q753*U755*F753*O753/1000000),4)</f>
        <v>0</v>
      </c>
      <c r="AB755" s="49">
        <f>ROUND((R753*V755*F753*O753/1000000),4)</f>
        <v>0</v>
      </c>
      <c r="AC755" s="50" t="s">
        <v>203</v>
      </c>
      <c r="AD755" s="51" t="s">
        <v>204</v>
      </c>
      <c r="AE755" s="44">
        <f>ROUND((((X755*E753)/1800)),4)</f>
        <v>9.2999999999999992E-3</v>
      </c>
      <c r="AF755" s="44">
        <f>ROUND(((Z755+AA755+AB755)),5)</f>
        <v>5.5999999999999999E-3</v>
      </c>
      <c r="AG755" s="88"/>
      <c r="AH755" s="88"/>
    </row>
    <row r="756" spans="1:34" ht="12.95" customHeight="1" x14ac:dyDescent="0.25">
      <c r="A756" s="89"/>
      <c r="B756" s="53"/>
      <c r="C756" s="52"/>
      <c r="D756" s="52"/>
      <c r="E756" s="52"/>
      <c r="F756" s="63"/>
      <c r="G756" s="52"/>
      <c r="H756" s="52"/>
      <c r="I756" s="52"/>
      <c r="J756" s="52"/>
      <c r="K756" s="52"/>
      <c r="L756" s="59">
        <v>1.1399999999999999</v>
      </c>
      <c r="M756" s="59">
        <v>1.37</v>
      </c>
      <c r="N756" s="52"/>
      <c r="O756" s="52"/>
      <c r="P756" s="52"/>
      <c r="Q756" s="52"/>
      <c r="R756" s="52"/>
      <c r="S756" s="61">
        <v>0.79</v>
      </c>
      <c r="T756" s="48">
        <f>ROUND((L756*I753+1.3*L756*K753+S756*H753),4)</f>
        <v>431.29500000000002</v>
      </c>
      <c r="U756" s="48">
        <f>ROUND((M756*0.9*I753+1.3*M756*0.9*K753+S756*H753),4)</f>
        <v>462.61279999999999</v>
      </c>
      <c r="V756" s="48">
        <f>ROUND((M756*I753+1.3*M756*K753+S756*H753),4)</f>
        <v>508.7475</v>
      </c>
      <c r="W756" s="48">
        <f>ROUND((L756*J753+1.3*L756*N753+S756*G753),4)</f>
        <v>35.520000000000003</v>
      </c>
      <c r="X756" s="48">
        <f>ROUND((M756*0.9*J753+1.3*M756*0.9*N753+S756*G753),4)</f>
        <v>38.030999999999999</v>
      </c>
      <c r="Y756" s="48">
        <f>ROUND((M756*J753+1.3*N753+S756*G753),4)</f>
        <v>36.92</v>
      </c>
      <c r="Z756" s="49">
        <f>ROUND((P753*T756*F753*O753/1000000),4)</f>
        <v>1.29E-2</v>
      </c>
      <c r="AA756" s="49">
        <f>ROUND((Q753*U756*F753*O753/1000000),4)</f>
        <v>0</v>
      </c>
      <c r="AB756" s="49">
        <f>ROUND((R753*V756*F753*O753/1000000),4)</f>
        <v>0</v>
      </c>
      <c r="AC756" s="50" t="s">
        <v>205</v>
      </c>
      <c r="AD756" s="51" t="s">
        <v>206</v>
      </c>
      <c r="AE756" s="44">
        <f>ROUND((((X756*E753)/1800)),4)</f>
        <v>2.1100000000000001E-2</v>
      </c>
      <c r="AF756" s="44">
        <f>ROUND(((Z756+AA756+AB756)),4)</f>
        <v>1.29E-2</v>
      </c>
      <c r="AG756" s="88"/>
      <c r="AH756" s="88"/>
    </row>
    <row r="757" spans="1:34" ht="12.95" customHeight="1" x14ac:dyDescent="0.25">
      <c r="A757" s="89"/>
      <c r="B757" s="53"/>
      <c r="C757" s="52"/>
      <c r="D757" s="52"/>
      <c r="E757" s="52"/>
      <c r="F757" s="63"/>
      <c r="G757" s="52"/>
      <c r="H757" s="52"/>
      <c r="I757" s="52"/>
      <c r="J757" s="52"/>
      <c r="K757" s="52"/>
      <c r="L757" s="59">
        <v>0.72</v>
      </c>
      <c r="M757" s="59">
        <v>1.08</v>
      </c>
      <c r="N757" s="52"/>
      <c r="O757" s="52"/>
      <c r="P757" s="52"/>
      <c r="Q757" s="52"/>
      <c r="R757" s="52"/>
      <c r="S757" s="61">
        <v>0.17</v>
      </c>
      <c r="T757" s="48">
        <f>ROUND((L757*I753+1.3*L757*K753+S757*H753),4)</f>
        <v>252.66</v>
      </c>
      <c r="U757" s="48">
        <f>ROUND((M757*0.9*I753+1.3*M757*0.9*K753+S757*H753),4)</f>
        <v>337.52100000000002</v>
      </c>
      <c r="V757" s="48">
        <f>ROUND((M757*I753+1.3*M757*K753+S757*H753),4)</f>
        <v>373.89</v>
      </c>
      <c r="W757" s="48">
        <f>ROUND((L757*J753+1.3*L757*N753+S757*G753),4)</f>
        <v>20.46</v>
      </c>
      <c r="X757" s="48">
        <f>ROUND((M757*0.9*J753+1.3*M757*0.9*N753+S757*G753),4)</f>
        <v>27.263999999999999</v>
      </c>
      <c r="Y757" s="48">
        <f>ROUND((M757*J753+1.3*M757*N753+S757*G753),4)</f>
        <v>30.18</v>
      </c>
      <c r="Z757" s="49">
        <f>ROUND((P753*T757*F753*O753/1000000),4)</f>
        <v>7.6E-3</v>
      </c>
      <c r="AA757" s="49">
        <f>ROUND((Q753*U757*F753*O753/1000000),4)</f>
        <v>0</v>
      </c>
      <c r="AB757" s="49">
        <f>ROUND((R753*V757*F753*O753/1000000),4)</f>
        <v>0</v>
      </c>
      <c r="AC757" s="50" t="s">
        <v>250</v>
      </c>
      <c r="AD757" s="51" t="s">
        <v>208</v>
      </c>
      <c r="AE757" s="44">
        <f>ROUND((((X757*E753)/1800)),4)</f>
        <v>1.5100000000000001E-2</v>
      </c>
      <c r="AF757" s="44">
        <f>ROUND(((Z757+AA757+AB757)),4)</f>
        <v>7.6E-3</v>
      </c>
    </row>
    <row r="758" spans="1:34" ht="12.95" customHeight="1" x14ac:dyDescent="0.25">
      <c r="A758" s="89"/>
      <c r="B758" s="62"/>
      <c r="C758" s="56"/>
      <c r="D758" s="56"/>
      <c r="E758" s="56"/>
      <c r="F758" s="66"/>
      <c r="G758" s="56"/>
      <c r="H758" s="56"/>
      <c r="I758" s="56"/>
      <c r="J758" s="56"/>
      <c r="K758" s="56"/>
      <c r="L758" s="59">
        <v>3.37</v>
      </c>
      <c r="M758" s="59">
        <v>4.1100000000000003</v>
      </c>
      <c r="N758" s="56"/>
      <c r="O758" s="56"/>
      <c r="P758" s="56"/>
      <c r="Q758" s="56"/>
      <c r="R758" s="56"/>
      <c r="S758" s="61">
        <v>6.31</v>
      </c>
      <c r="T758" s="48">
        <f>ROUND((L758*I753+1.3*L758*K753+S758*H753),4)</f>
        <v>1513.4475</v>
      </c>
      <c r="U758" s="48">
        <f>ROUND((M758*0.9*I753+1.3*M758*0.9*K753+S758*H753),4)</f>
        <v>1624.2383</v>
      </c>
      <c r="V758" s="48">
        <f>ROUND((M758*I753+1.3*M758*K753+S758*H753),4)</f>
        <v>1762.6424999999999</v>
      </c>
      <c r="W758" s="48">
        <f>ROUND((L758*J753+1.3*L758*N753+S758*G753),4)</f>
        <v>128.85</v>
      </c>
      <c r="X758" s="48">
        <f>ROUND((M758*0.9*J753+1.3*M758*0.9*N753+S758*G753),4)</f>
        <v>137.733</v>
      </c>
      <c r="Y758" s="48">
        <f>ROUND((M758*J753+1.3*M758*N753+S758*G753),4)</f>
        <v>148.83000000000001</v>
      </c>
      <c r="Z758" s="49">
        <f>ROUND((P753*T758*F753*O753/1000000),4)</f>
        <v>4.5400000000000003E-2</v>
      </c>
      <c r="AA758" s="49">
        <f>ROUND((Q753*U758*F753*O753/1000000),4)</f>
        <v>0</v>
      </c>
      <c r="AB758" s="49">
        <f>ROUND((R753*V758*F753*O753/1000000),4)</f>
        <v>0</v>
      </c>
      <c r="AC758" s="50" t="s">
        <v>170</v>
      </c>
      <c r="AD758" s="51" t="s">
        <v>162</v>
      </c>
      <c r="AE758" s="44">
        <f>ROUND((((X758*E753)/1800)),4)</f>
        <v>7.6499999999999999E-2</v>
      </c>
      <c r="AF758" s="44">
        <f>ROUND(((Z758+AA758+AB758)),4)</f>
        <v>4.5400000000000003E-2</v>
      </c>
    </row>
    <row r="759" spans="1:34" ht="12.95" customHeight="1" x14ac:dyDescent="0.25">
      <c r="A759" s="52"/>
      <c r="B759" s="67" t="s">
        <v>220</v>
      </c>
      <c r="C759" s="46">
        <v>7</v>
      </c>
      <c r="D759" s="45" t="s">
        <v>217</v>
      </c>
      <c r="E759" s="45">
        <v>1</v>
      </c>
      <c r="F759" s="45">
        <v>1</v>
      </c>
      <c r="G759" s="45">
        <v>6</v>
      </c>
      <c r="H759" s="45">
        <v>60</v>
      </c>
      <c r="I759" s="45">
        <f>(8-1-0.75*2)*60*F759-K759-8*0.12*60</f>
        <v>57.900000000000006</v>
      </c>
      <c r="J759" s="45">
        <v>14</v>
      </c>
      <c r="K759" s="45">
        <f>(8-1-0.75*2)*0.65*60*F759</f>
        <v>214.5</v>
      </c>
      <c r="L759" s="48">
        <v>10.16</v>
      </c>
      <c r="M759" s="48">
        <v>10.16</v>
      </c>
      <c r="N759" s="45">
        <v>10</v>
      </c>
      <c r="O759" s="45">
        <f>E759/F759</f>
        <v>1</v>
      </c>
      <c r="P759" s="45">
        <v>30</v>
      </c>
      <c r="Q759" s="45">
        <v>30</v>
      </c>
      <c r="R759" s="47">
        <v>0</v>
      </c>
      <c r="S759" s="47">
        <v>1.99</v>
      </c>
      <c r="T759" s="48">
        <f>ROUND((L759*I759+1.3*L759*K759+S759*H759),4)</f>
        <v>3540.78</v>
      </c>
      <c r="U759" s="48">
        <f>ROUND((M759*I759+1.3*M759*K759+S759*H759),4)</f>
        <v>3540.78</v>
      </c>
      <c r="V759" s="48">
        <f>ROUND((M759*I759+1.3*M759*K759+S759*H759),4)</f>
        <v>3540.78</v>
      </c>
      <c r="W759" s="48">
        <f>ROUND((L759*J759+1.3*L759*N759+S759*G759),4)</f>
        <v>286.26</v>
      </c>
      <c r="X759" s="48">
        <f>ROUND((M759*J759+1.3*M759*N759+S759*G759),4)</f>
        <v>286.26</v>
      </c>
      <c r="Y759" s="48">
        <f>ROUND((M759*J759+1.3*M759*N759+S759*G759),4)</f>
        <v>286.26</v>
      </c>
      <c r="Z759" s="49">
        <f>ROUND((P759*T759*F759*O759/1000000),4)</f>
        <v>0.1062</v>
      </c>
      <c r="AA759" s="49">
        <f>ROUND((Q759*U759*F759*O759/1000000),4)</f>
        <v>0.1062</v>
      </c>
      <c r="AB759" s="49">
        <f>ROUND((R759*V759*F759*O759/1000000),4)</f>
        <v>0</v>
      </c>
      <c r="AC759" s="50" t="s">
        <v>200</v>
      </c>
      <c r="AD759" s="51" t="s">
        <v>153</v>
      </c>
      <c r="AE759" s="44">
        <f>ROUND((((X759*E759)/1800)*0.8),4)</f>
        <v>0.12720000000000001</v>
      </c>
      <c r="AF759" s="44">
        <f>ROUND(((Z759+AA759+AB759)*0.8),4)</f>
        <v>0.1699</v>
      </c>
    </row>
    <row r="760" spans="1:34" ht="12.95" customHeight="1" x14ac:dyDescent="0.25">
      <c r="A760" s="52"/>
      <c r="B760" s="53" t="s">
        <v>221</v>
      </c>
      <c r="C760" s="52"/>
      <c r="D760" s="52"/>
      <c r="E760" s="52"/>
      <c r="F760" s="52"/>
      <c r="G760" s="52"/>
      <c r="H760" s="52"/>
      <c r="I760" s="52"/>
      <c r="J760" s="52"/>
      <c r="K760" s="52"/>
      <c r="L760" s="56"/>
      <c r="M760" s="56"/>
      <c r="N760" s="52"/>
      <c r="O760" s="52"/>
      <c r="P760" s="52"/>
      <c r="Q760" s="52"/>
      <c r="R760" s="52"/>
      <c r="S760" s="57"/>
      <c r="T760" s="54"/>
      <c r="U760" s="54"/>
      <c r="V760" s="54"/>
      <c r="W760" s="54"/>
      <c r="X760" s="54"/>
      <c r="Y760" s="54"/>
      <c r="Z760" s="54"/>
      <c r="AA760" s="54"/>
      <c r="AB760" s="54"/>
      <c r="AC760" s="50" t="s">
        <v>201</v>
      </c>
      <c r="AD760" s="51" t="s">
        <v>202</v>
      </c>
      <c r="AE760" s="44">
        <f>ROUND((((X759*E759)/1800)*0.13),4)</f>
        <v>2.07E-2</v>
      </c>
      <c r="AF760" s="44">
        <f>ROUND(((Z759+AA759+AB759)*0.13),4)</f>
        <v>2.76E-2</v>
      </c>
    </row>
    <row r="761" spans="1:34" ht="12.95" customHeight="1" x14ac:dyDescent="0.25">
      <c r="A761" s="52"/>
      <c r="B761" s="88"/>
      <c r="C761" s="55"/>
      <c r="D761" s="55"/>
      <c r="E761" s="52"/>
      <c r="F761" s="52"/>
      <c r="G761" s="52"/>
      <c r="H761" s="52"/>
      <c r="I761" s="52"/>
      <c r="J761" s="52"/>
      <c r="K761" s="52"/>
      <c r="L761" s="59">
        <v>0.8</v>
      </c>
      <c r="M761" s="59">
        <v>0.98</v>
      </c>
      <c r="N761" s="52"/>
      <c r="O761" s="52"/>
      <c r="P761" s="52"/>
      <c r="Q761" s="52"/>
      <c r="R761" s="52"/>
      <c r="S761" s="60">
        <v>0.39</v>
      </c>
      <c r="T761" s="48">
        <f>ROUND((L761*I759+1.3*L761*K759+S761*H759),4)</f>
        <v>292.8</v>
      </c>
      <c r="U761" s="48">
        <f>ROUND((M761*0.9*I759+1.3*M761*0.9*K759+S761*H759),4)</f>
        <v>320.4135</v>
      </c>
      <c r="V761" s="48">
        <f>ROUND((M761*I759+1.3*M761*K759+S761*H759),4)</f>
        <v>353.41500000000002</v>
      </c>
      <c r="W761" s="48">
        <f>ROUND((L761*J759+1.3*L761*N759+S761*G759),4)</f>
        <v>23.94</v>
      </c>
      <c r="X761" s="48">
        <f>ROUND((M761*0.9*J759+1.3*M761*0.9*N759+S761*G759),4)</f>
        <v>26.154</v>
      </c>
      <c r="Y761" s="48">
        <f>ROUND((M761*J759+1.3*M761*N759+S761*G759),4)</f>
        <v>28.8</v>
      </c>
      <c r="Z761" s="49">
        <f>ROUND((P759*T761*F759*O759/1000000),4)</f>
        <v>8.8000000000000005E-3</v>
      </c>
      <c r="AA761" s="49">
        <f>ROUND((Q759*U761*F759*O759/1000000),4)</f>
        <v>9.5999999999999992E-3</v>
      </c>
      <c r="AB761" s="49">
        <f>ROUND((R759*V761*F759*O759/1000000),4)</f>
        <v>0</v>
      </c>
      <c r="AC761" s="50" t="s">
        <v>203</v>
      </c>
      <c r="AD761" s="51" t="s">
        <v>204</v>
      </c>
      <c r="AE761" s="44">
        <f>ROUND((((X761*E759)/1800)),4)</f>
        <v>1.4500000000000001E-2</v>
      </c>
      <c r="AF761" s="44">
        <f>ROUND(((Z761+AA761+AB761)),5)</f>
        <v>1.84E-2</v>
      </c>
    </row>
    <row r="762" spans="1:34" ht="12.95" customHeight="1" x14ac:dyDescent="0.25">
      <c r="A762" s="52"/>
      <c r="B762" s="88"/>
      <c r="C762" s="52"/>
      <c r="D762" s="52"/>
      <c r="E762" s="52"/>
      <c r="F762" s="52"/>
      <c r="G762" s="52"/>
      <c r="H762" s="52"/>
      <c r="I762" s="52"/>
      <c r="J762" s="52"/>
      <c r="K762" s="52"/>
      <c r="L762" s="59">
        <v>1.79</v>
      </c>
      <c r="M762" s="59">
        <v>2.15</v>
      </c>
      <c r="N762" s="52"/>
      <c r="O762" s="52"/>
      <c r="P762" s="52"/>
      <c r="Q762" s="52"/>
      <c r="R762" s="52"/>
      <c r="S762" s="61">
        <v>1.24</v>
      </c>
      <c r="T762" s="48">
        <f>ROUND((L762*I759+1.3*L762*K759+S762*H759),4)</f>
        <v>677.1825</v>
      </c>
      <c r="U762" s="48">
        <f>ROUND((M762*0.9*I759+1.3*M762*0.9*K759+S762*H759),4)</f>
        <v>726.01130000000001</v>
      </c>
      <c r="V762" s="48">
        <f>ROUND((M762*I759+1.3*M762*K759+S762*H759),4)</f>
        <v>798.41250000000002</v>
      </c>
      <c r="W762" s="48">
        <f>ROUND((L762*J759+1.3*L762*N759+S762*G759),4)</f>
        <v>55.77</v>
      </c>
      <c r="X762" s="48">
        <f>ROUND((M762*0.9*J759+1.3*M762*0.9*N759+S762*G759),4)</f>
        <v>59.685000000000002</v>
      </c>
      <c r="Y762" s="48">
        <f>ROUND((M762*J759+1.3*N759+S762*G759),4)</f>
        <v>50.54</v>
      </c>
      <c r="Z762" s="49">
        <f>ROUND((P759*T762*F759*O759/1000000),4)</f>
        <v>2.0299999999999999E-2</v>
      </c>
      <c r="AA762" s="49">
        <f>ROUND((Q759*U762*F759*O759/1000000),4)</f>
        <v>2.18E-2</v>
      </c>
      <c r="AB762" s="49">
        <f>ROUND((R759*V762*F759*O759/1000000),4)</f>
        <v>0</v>
      </c>
      <c r="AC762" s="50" t="s">
        <v>205</v>
      </c>
      <c r="AD762" s="51" t="s">
        <v>206</v>
      </c>
      <c r="AE762" s="44">
        <f>ROUND((((X762*E759)/1800)),4)</f>
        <v>3.32E-2</v>
      </c>
      <c r="AF762" s="44">
        <f>ROUND(((Z762+AA762+AB762)),4)</f>
        <v>4.2099999999999999E-2</v>
      </c>
    </row>
    <row r="763" spans="1:34" ht="12.95" customHeight="1" x14ac:dyDescent="0.25">
      <c r="A763" s="52"/>
      <c r="B763" s="53"/>
      <c r="C763" s="52"/>
      <c r="D763" s="52"/>
      <c r="E763" s="52"/>
      <c r="F763" s="52"/>
      <c r="G763" s="52"/>
      <c r="H763" s="52"/>
      <c r="I763" s="52"/>
      <c r="J763" s="52"/>
      <c r="K763" s="52"/>
      <c r="L763" s="59">
        <v>1.1299999999999999</v>
      </c>
      <c r="M763" s="59">
        <v>1.7</v>
      </c>
      <c r="N763" s="52"/>
      <c r="O763" s="52"/>
      <c r="P763" s="52"/>
      <c r="Q763" s="52"/>
      <c r="R763" s="52"/>
      <c r="S763" s="61">
        <v>0.26</v>
      </c>
      <c r="T763" s="48">
        <f>ROUND((L763*I759+1.3*L763*K759+S763*H759),4)</f>
        <v>396.1275</v>
      </c>
      <c r="U763" s="48">
        <f>ROUND((M763*0.9*I759+1.3*M763*0.9*K759+S763*H759),4)</f>
        <v>530.82749999999999</v>
      </c>
      <c r="V763" s="48">
        <f>ROUND((M763*I759+1.3*M763*K759+S763*H759),4)</f>
        <v>588.07500000000005</v>
      </c>
      <c r="W763" s="48">
        <f>ROUND((L763*J759+1.3*L763*N759+S763*G759),4)</f>
        <v>32.07</v>
      </c>
      <c r="X763" s="48">
        <f>ROUND((M763*0.9*J759+1.3*M763*0.9*N759+S763*G759),4)</f>
        <v>42.87</v>
      </c>
      <c r="Y763" s="48">
        <f>ROUND((M763*J759+1.3*M763*N759+S763*G759),4)</f>
        <v>47.46</v>
      </c>
      <c r="Z763" s="49">
        <f>ROUND((P759*T763*F759*O759/1000000),4)</f>
        <v>1.1900000000000001E-2</v>
      </c>
      <c r="AA763" s="49">
        <f>ROUND((Q759*U763*F759*O759/1000000),4)</f>
        <v>1.5900000000000001E-2</v>
      </c>
      <c r="AB763" s="49">
        <f>ROUND((R759*V763*F759*O759/1000000),4)</f>
        <v>0</v>
      </c>
      <c r="AC763" s="50" t="s">
        <v>250</v>
      </c>
      <c r="AD763" s="51" t="s">
        <v>208</v>
      </c>
      <c r="AE763" s="44">
        <f>ROUND((((X763*E759)/1800)),4)</f>
        <v>2.3800000000000002E-2</v>
      </c>
      <c r="AF763" s="44">
        <f>ROUND(((Z763+AA763+AB763)),4)</f>
        <v>2.7799999999999998E-2</v>
      </c>
    </row>
    <row r="764" spans="1:34" ht="12.95" customHeight="1" x14ac:dyDescent="0.25">
      <c r="A764" s="52"/>
      <c r="B764" s="62"/>
      <c r="C764" s="56"/>
      <c r="D764" s="56"/>
      <c r="E764" s="56"/>
      <c r="F764" s="56"/>
      <c r="G764" s="56"/>
      <c r="H764" s="56"/>
      <c r="I764" s="56"/>
      <c r="J764" s="56"/>
      <c r="K764" s="56"/>
      <c r="L764" s="59">
        <v>5.3</v>
      </c>
      <c r="M764" s="59">
        <v>6.47</v>
      </c>
      <c r="N764" s="56"/>
      <c r="O764" s="56"/>
      <c r="P764" s="56"/>
      <c r="Q764" s="56"/>
      <c r="R764" s="56"/>
      <c r="S764" s="61">
        <v>9.92</v>
      </c>
      <c r="T764" s="48">
        <f>ROUND((L764*I759+1.3*L764*K759+S764*H759),4)</f>
        <v>2379.9749999999999</v>
      </c>
      <c r="U764" s="48">
        <f>ROUND((M764*0.9*I759+1.3*M764*0.9*K759+S764*H759),4)</f>
        <v>2556.0953</v>
      </c>
      <c r="V764" s="48">
        <f>ROUND((M764*I759+1.3*M764*K759+S764*H759),4)</f>
        <v>2773.9724999999999</v>
      </c>
      <c r="W764" s="48">
        <f>ROUND((L764*J759+1.3*L764*N759+S764*G759),4)</f>
        <v>202.62</v>
      </c>
      <c r="X764" s="48">
        <f>ROUND((M764*0.9*J759+1.3*M764*0.9*N759+S764*G759),4)</f>
        <v>216.74100000000001</v>
      </c>
      <c r="Y764" s="48">
        <f>ROUND((M764*J759+1.3*M764*N759+S764*G759),4)</f>
        <v>234.21</v>
      </c>
      <c r="Z764" s="49">
        <f>ROUND((P759*T764*F759*O759/1000000),4)</f>
        <v>7.1400000000000005E-2</v>
      </c>
      <c r="AA764" s="49">
        <f>ROUND((Q759*U764*F759*O759/1000000),4)</f>
        <v>7.6700000000000004E-2</v>
      </c>
      <c r="AB764" s="49">
        <f>ROUND((R759*V764*F759*O759/1000000),4)</f>
        <v>0</v>
      </c>
      <c r="AC764" s="50" t="s">
        <v>170</v>
      </c>
      <c r="AD764" s="51" t="s">
        <v>162</v>
      </c>
      <c r="AE764" s="44">
        <f>ROUND((((X764*E759)/1800)),4)</f>
        <v>0.12039999999999999</v>
      </c>
      <c r="AF764" s="44">
        <f>ROUND(((Z764+AA764+AB764)),4)</f>
        <v>0.14810000000000001</v>
      </c>
    </row>
    <row r="765" spans="1:34" ht="12.95" customHeight="1" x14ac:dyDescent="0.25">
      <c r="A765" s="89"/>
      <c r="B765" s="46" t="s">
        <v>236</v>
      </c>
      <c r="C765" s="46">
        <v>6</v>
      </c>
      <c r="D765" s="45" t="s">
        <v>210</v>
      </c>
      <c r="E765" s="45">
        <v>1</v>
      </c>
      <c r="F765" s="45">
        <v>1</v>
      </c>
      <c r="G765" s="45">
        <v>6</v>
      </c>
      <c r="H765" s="45">
        <v>60</v>
      </c>
      <c r="I765" s="45">
        <f>(8-1-0.75*2)*60*F765-K765-8*0.12*60</f>
        <v>57.900000000000006</v>
      </c>
      <c r="J765" s="45">
        <v>14</v>
      </c>
      <c r="K765" s="45">
        <f>(8-1-0.75*2)*0.65*60*F765</f>
        <v>214.5</v>
      </c>
      <c r="L765" s="48">
        <v>6.47</v>
      </c>
      <c r="M765" s="48">
        <v>6.47</v>
      </c>
      <c r="N765" s="45">
        <v>10</v>
      </c>
      <c r="O765" s="45">
        <f>E765/F765</f>
        <v>1</v>
      </c>
      <c r="P765" s="45">
        <v>15</v>
      </c>
      <c r="Q765" s="45">
        <v>15</v>
      </c>
      <c r="R765" s="47">
        <v>0</v>
      </c>
      <c r="S765" s="47">
        <v>1.27</v>
      </c>
      <c r="T765" s="48">
        <f>ROUND((L765*I765+1.3*L765*K765+S765*H765),4)</f>
        <v>2254.9724999999999</v>
      </c>
      <c r="U765" s="48">
        <f>ROUND((M765*I765+1.3*M765*K765+S765*H765),4)</f>
        <v>2254.9724999999999</v>
      </c>
      <c r="V765" s="48">
        <f>ROUND((M765*I765+1.3*M765*K765+S765*H765),4)</f>
        <v>2254.9724999999999</v>
      </c>
      <c r="W765" s="48">
        <f>ROUND((L765*J765+1.3*L765*N765+S765*G765),4)</f>
        <v>182.31</v>
      </c>
      <c r="X765" s="48">
        <f>ROUND((M765*J765+1.3*M765*N765+S765*G765),4)</f>
        <v>182.31</v>
      </c>
      <c r="Y765" s="48">
        <f>ROUND((M765*J765+1.3*M765*N765+S765*G765),4)</f>
        <v>182.31</v>
      </c>
      <c r="Z765" s="49">
        <f>ROUND((P765*T765*F765*O765/1000000),4)</f>
        <v>3.3799999999999997E-2</v>
      </c>
      <c r="AA765" s="49">
        <f>ROUND((Q765*U765*F765*O765/1000000),4)</f>
        <v>3.3799999999999997E-2</v>
      </c>
      <c r="AB765" s="49">
        <f>ROUND((R765*V765*F765*O765/1000000),4)</f>
        <v>0</v>
      </c>
      <c r="AC765" s="50" t="s">
        <v>200</v>
      </c>
      <c r="AD765" s="51" t="s">
        <v>153</v>
      </c>
      <c r="AE765" s="44">
        <f>ROUND((((X765*E765)/1800)*0.8),4)</f>
        <v>8.1000000000000003E-2</v>
      </c>
      <c r="AF765" s="44">
        <f>ROUND(((Z765+AA765+AB765)*0.8),4)</f>
        <v>5.4100000000000002E-2</v>
      </c>
    </row>
    <row r="766" spans="1:34" ht="12.95" customHeight="1" x14ac:dyDescent="0.25">
      <c r="A766" s="89"/>
      <c r="B766" s="53" t="s">
        <v>237</v>
      </c>
      <c r="C766" s="52"/>
      <c r="D766" s="52"/>
      <c r="E766" s="52"/>
      <c r="F766" s="63"/>
      <c r="G766" s="52"/>
      <c r="H766" s="52"/>
      <c r="I766" s="52"/>
      <c r="J766" s="52"/>
      <c r="K766" s="52"/>
      <c r="L766" s="56"/>
      <c r="M766" s="56"/>
      <c r="N766" s="52"/>
      <c r="O766" s="52"/>
      <c r="P766" s="52"/>
      <c r="Q766" s="52"/>
      <c r="R766" s="52"/>
      <c r="S766" s="57"/>
      <c r="T766" s="54"/>
      <c r="U766" s="54"/>
      <c r="V766" s="54"/>
      <c r="W766" s="54"/>
      <c r="X766" s="54"/>
      <c r="Y766" s="54"/>
      <c r="Z766" s="54"/>
      <c r="AA766" s="54"/>
      <c r="AB766" s="54"/>
      <c r="AC766" s="50" t="s">
        <v>201</v>
      </c>
      <c r="AD766" s="51" t="s">
        <v>202</v>
      </c>
      <c r="AE766" s="44">
        <f>ROUND((((X765*E765)/1800)*0.13),4)</f>
        <v>1.32E-2</v>
      </c>
      <c r="AF766" s="44">
        <f>ROUND(((Z765+AA765+AB765)*0.13),4)</f>
        <v>8.8000000000000005E-3</v>
      </c>
    </row>
    <row r="767" spans="1:34" ht="12.95" customHeight="1" x14ac:dyDescent="0.25">
      <c r="A767" s="89"/>
      <c r="B767" s="67"/>
      <c r="C767" s="55"/>
      <c r="D767" s="55"/>
      <c r="E767" s="52"/>
      <c r="F767" s="63"/>
      <c r="G767" s="52"/>
      <c r="H767" s="52"/>
      <c r="I767" s="52"/>
      <c r="J767" s="52"/>
      <c r="K767" s="52"/>
      <c r="L767" s="59">
        <v>0.51</v>
      </c>
      <c r="M767" s="59">
        <v>0.63</v>
      </c>
      <c r="N767" s="52"/>
      <c r="O767" s="52"/>
      <c r="P767" s="52"/>
      <c r="Q767" s="52"/>
      <c r="R767" s="52"/>
      <c r="S767" s="60">
        <v>0.25</v>
      </c>
      <c r="T767" s="48">
        <f>ROUND((L767*I765+1.3*L767*K765+S767*H765),4)</f>
        <v>186.74250000000001</v>
      </c>
      <c r="U767" s="48">
        <f>ROUND((M767*0.9*I765+1.3*M767*0.9*K765+S767*H765),4)</f>
        <v>205.93729999999999</v>
      </c>
      <c r="V767" s="48">
        <f>ROUND((M767*I765+1.3*M767*K765+S767*H765),4)</f>
        <v>227.1525</v>
      </c>
      <c r="W767" s="48">
        <f>ROUND((L767*J765+1.3*L767*N765+S767*G765),4)</f>
        <v>15.27</v>
      </c>
      <c r="X767" s="48">
        <f>ROUND((M767*0.9*J765+1.3*M767*0.9*N765+S767*G765),4)</f>
        <v>16.809000000000001</v>
      </c>
      <c r="Y767" s="48">
        <f>ROUND((M767*J765+1.3*M767*N765+S767*G765),4)</f>
        <v>18.510000000000002</v>
      </c>
      <c r="Z767" s="49">
        <f>ROUND((P765*T767*F765*O765/1000000),4)</f>
        <v>2.8E-3</v>
      </c>
      <c r="AA767" s="49">
        <f>ROUND((Q765*U767*F765*O765/1000000),4)</f>
        <v>3.0999999999999999E-3</v>
      </c>
      <c r="AB767" s="49">
        <f>ROUND((R765*V767*F765*O765/1000000),4)</f>
        <v>0</v>
      </c>
      <c r="AC767" s="50" t="s">
        <v>203</v>
      </c>
      <c r="AD767" s="51" t="s">
        <v>204</v>
      </c>
      <c r="AE767" s="44">
        <f>ROUND((((X767*E765)/1800)),4)</f>
        <v>9.2999999999999992E-3</v>
      </c>
      <c r="AF767" s="44">
        <f>ROUND(((Z767+AA767+AB767)),5)</f>
        <v>5.8999999999999999E-3</v>
      </c>
    </row>
    <row r="768" spans="1:34" ht="12.95" customHeight="1" x14ac:dyDescent="0.25">
      <c r="A768" s="89"/>
      <c r="B768" s="53"/>
      <c r="C768" s="52"/>
      <c r="D768" s="52"/>
      <c r="E768" s="52"/>
      <c r="F768" s="63"/>
      <c r="G768" s="52"/>
      <c r="H768" s="52"/>
      <c r="I768" s="52"/>
      <c r="J768" s="52"/>
      <c r="K768" s="52"/>
      <c r="L768" s="59">
        <v>1.1399999999999999</v>
      </c>
      <c r="M768" s="59">
        <v>1.37</v>
      </c>
      <c r="N768" s="52"/>
      <c r="O768" s="52"/>
      <c r="P768" s="52"/>
      <c r="Q768" s="52"/>
      <c r="R768" s="52"/>
      <c r="S768" s="61">
        <v>0.79</v>
      </c>
      <c r="T768" s="48">
        <f>ROUND((L768*I765+1.3*L768*K765+S768*H765),4)</f>
        <v>431.29500000000002</v>
      </c>
      <c r="U768" s="48">
        <f>ROUND((M768*0.9*I765+1.3*M768*0.9*K765+S768*H765),4)</f>
        <v>462.61279999999999</v>
      </c>
      <c r="V768" s="48">
        <f>ROUND((M768*I765+1.3*M768*K765+S768*H765),4)</f>
        <v>508.7475</v>
      </c>
      <c r="W768" s="48">
        <f>ROUND((L768*J765+1.3*L768*N765+S768*G765),4)</f>
        <v>35.520000000000003</v>
      </c>
      <c r="X768" s="48">
        <f>ROUND((M768*0.9*J765+1.3*M768*0.9*N765+S768*G765),4)</f>
        <v>38.030999999999999</v>
      </c>
      <c r="Y768" s="48">
        <f>ROUND((M768*J765+1.3*N765+S768*G765),4)</f>
        <v>36.92</v>
      </c>
      <c r="Z768" s="49">
        <f>ROUND((P765*T768*F765*O765/1000000),4)</f>
        <v>6.4999999999999997E-3</v>
      </c>
      <c r="AA768" s="49">
        <f>ROUND((Q765*U768*F765*O765/1000000),4)</f>
        <v>6.8999999999999999E-3</v>
      </c>
      <c r="AB768" s="49">
        <f>ROUND((R765*V768*F765*O765/1000000),4)</f>
        <v>0</v>
      </c>
      <c r="AC768" s="50" t="s">
        <v>205</v>
      </c>
      <c r="AD768" s="51" t="s">
        <v>206</v>
      </c>
      <c r="AE768" s="44">
        <f>ROUND((((X768*E765)/1800)),4)</f>
        <v>2.1100000000000001E-2</v>
      </c>
      <c r="AF768" s="44">
        <f>ROUND(((Z768+AA768+AB768)),4)</f>
        <v>1.34E-2</v>
      </c>
    </row>
    <row r="769" spans="1:34" ht="12.95" customHeight="1" x14ac:dyDescent="0.25">
      <c r="A769" s="89"/>
      <c r="B769" s="53"/>
      <c r="C769" s="52"/>
      <c r="D769" s="52"/>
      <c r="E769" s="52"/>
      <c r="F769" s="63"/>
      <c r="G769" s="52"/>
      <c r="H769" s="52"/>
      <c r="I769" s="52"/>
      <c r="J769" s="52"/>
      <c r="K769" s="52"/>
      <c r="L769" s="59">
        <v>0.72</v>
      </c>
      <c r="M769" s="59">
        <v>1.08</v>
      </c>
      <c r="N769" s="52"/>
      <c r="O769" s="52"/>
      <c r="P769" s="52"/>
      <c r="Q769" s="52"/>
      <c r="R769" s="52"/>
      <c r="S769" s="61">
        <v>0.17</v>
      </c>
      <c r="T769" s="48">
        <f>ROUND((L769*I765+1.3*L769*K765+S769*H765),4)</f>
        <v>252.66</v>
      </c>
      <c r="U769" s="48">
        <f>ROUND((M769*0.9*I765+1.3*M769*0.9*K765+S769*H765),4)</f>
        <v>337.52100000000002</v>
      </c>
      <c r="V769" s="48">
        <f>ROUND((M769*I765+1.3*M769*K765+S769*H765),4)</f>
        <v>373.89</v>
      </c>
      <c r="W769" s="48">
        <f>ROUND((L769*J765+1.3*L769*N765+S769*G765),4)</f>
        <v>20.46</v>
      </c>
      <c r="X769" s="48">
        <f>ROUND((M769*0.9*J765+1.3*M769*0.9*N765+S769*G765),4)</f>
        <v>27.263999999999999</v>
      </c>
      <c r="Y769" s="48">
        <f>ROUND((M769*J765+1.3*M769*N765+S769*G765),4)</f>
        <v>30.18</v>
      </c>
      <c r="Z769" s="49">
        <f>ROUND((P765*T769*F765*O765/1000000),4)</f>
        <v>3.8E-3</v>
      </c>
      <c r="AA769" s="49">
        <f>ROUND((Q765*U769*F765*O765/1000000),4)</f>
        <v>5.1000000000000004E-3</v>
      </c>
      <c r="AB769" s="49">
        <f>ROUND((R765*V769*F765*O765/1000000),4)</f>
        <v>0</v>
      </c>
      <c r="AC769" s="50" t="s">
        <v>250</v>
      </c>
      <c r="AD769" s="51" t="s">
        <v>208</v>
      </c>
      <c r="AE769" s="44">
        <f>ROUND((((X769*E765)/1800)),4)</f>
        <v>1.5100000000000001E-2</v>
      </c>
      <c r="AF769" s="44">
        <f>ROUND(((Z769+AA769+AB769)),4)</f>
        <v>8.8999999999999999E-3</v>
      </c>
    </row>
    <row r="770" spans="1:34" ht="12.95" customHeight="1" x14ac:dyDescent="0.25">
      <c r="A770" s="89"/>
      <c r="B770" s="62"/>
      <c r="C770" s="56"/>
      <c r="D770" s="56"/>
      <c r="E770" s="56"/>
      <c r="F770" s="66"/>
      <c r="G770" s="56"/>
      <c r="H770" s="56"/>
      <c r="I770" s="56"/>
      <c r="J770" s="56"/>
      <c r="K770" s="56"/>
      <c r="L770" s="59">
        <v>3.37</v>
      </c>
      <c r="M770" s="59">
        <v>4.1100000000000003</v>
      </c>
      <c r="N770" s="56"/>
      <c r="O770" s="56"/>
      <c r="P770" s="56"/>
      <c r="Q770" s="56"/>
      <c r="R770" s="56"/>
      <c r="S770" s="61">
        <v>6.31</v>
      </c>
      <c r="T770" s="48">
        <f>ROUND((L770*I765+1.3*L770*K765+S770*H765),4)</f>
        <v>1513.4475</v>
      </c>
      <c r="U770" s="48">
        <f>ROUND((M770*0.9*I765+1.3*M770*0.9*K765+S770*H765),4)</f>
        <v>1624.2383</v>
      </c>
      <c r="V770" s="48">
        <f>ROUND((M770*I765+1.3*M770*K765+S770*H765),4)</f>
        <v>1762.6424999999999</v>
      </c>
      <c r="W770" s="48">
        <f>ROUND((L770*J765+1.3*L770*N765+S770*G765),4)</f>
        <v>128.85</v>
      </c>
      <c r="X770" s="48">
        <f>ROUND((M770*0.9*J765+1.3*M770*0.9*N765+S770*G765),4)</f>
        <v>137.733</v>
      </c>
      <c r="Y770" s="48">
        <f>ROUND((M770*J765+1.3*M770*N765+S770*G765),4)</f>
        <v>148.83000000000001</v>
      </c>
      <c r="Z770" s="49">
        <f>ROUND((P765*T770*F765*O765/1000000),4)</f>
        <v>2.2700000000000001E-2</v>
      </c>
      <c r="AA770" s="49">
        <f>ROUND((Q765*U770*F765*O765/1000000),4)</f>
        <v>2.4400000000000002E-2</v>
      </c>
      <c r="AB770" s="49">
        <f>ROUND((R765*V770*F765*O765/1000000),4)</f>
        <v>0</v>
      </c>
      <c r="AC770" s="50" t="s">
        <v>170</v>
      </c>
      <c r="AD770" s="51" t="s">
        <v>162</v>
      </c>
      <c r="AE770" s="44">
        <f>ROUND((((X770*E765)/1800)),4)</f>
        <v>7.6499999999999999E-2</v>
      </c>
      <c r="AF770" s="44">
        <f>ROUND(((Z770+AA770+AB770)),4)</f>
        <v>4.7100000000000003E-2</v>
      </c>
    </row>
    <row r="771" spans="1:34" ht="12.95" customHeight="1" x14ac:dyDescent="0.25">
      <c r="A771" s="89"/>
      <c r="B771" s="46" t="s">
        <v>240</v>
      </c>
      <c r="C771" s="46">
        <v>6</v>
      </c>
      <c r="D771" s="45" t="s">
        <v>210</v>
      </c>
      <c r="E771" s="45">
        <v>1</v>
      </c>
      <c r="F771" s="45">
        <v>1</v>
      </c>
      <c r="G771" s="45">
        <v>6</v>
      </c>
      <c r="H771" s="45">
        <v>60</v>
      </c>
      <c r="I771" s="45">
        <f>(8-1-0.75*2)*60*F771-K771-8*0.12*60</f>
        <v>57.900000000000006</v>
      </c>
      <c r="J771" s="45">
        <v>14</v>
      </c>
      <c r="K771" s="45">
        <f>(8-1-0.75*2)*0.65*60*F771</f>
        <v>214.5</v>
      </c>
      <c r="L771" s="48">
        <v>6.47</v>
      </c>
      <c r="M771" s="48">
        <v>6.47</v>
      </c>
      <c r="N771" s="45">
        <v>10</v>
      </c>
      <c r="O771" s="45">
        <f>E771/F771</f>
        <v>1</v>
      </c>
      <c r="P771" s="45">
        <v>15</v>
      </c>
      <c r="Q771" s="45">
        <v>15</v>
      </c>
      <c r="R771" s="47">
        <v>0</v>
      </c>
      <c r="S771" s="47">
        <v>1.27</v>
      </c>
      <c r="T771" s="48">
        <f>ROUND((L771*I771+1.3*L771*K771+S771*H771),4)</f>
        <v>2254.9724999999999</v>
      </c>
      <c r="U771" s="48">
        <f>ROUND((M771*I771+1.3*M771*K771+S771*H771),4)</f>
        <v>2254.9724999999999</v>
      </c>
      <c r="V771" s="48">
        <f>ROUND((M771*I771+1.3*M771*K771+S771*H771),4)</f>
        <v>2254.9724999999999</v>
      </c>
      <c r="W771" s="48">
        <f>ROUND((L771*J771+1.3*L771*N771+S771*G771),4)</f>
        <v>182.31</v>
      </c>
      <c r="X771" s="48">
        <f>ROUND((M771*J771+1.3*M771*N771+S771*G771),4)</f>
        <v>182.31</v>
      </c>
      <c r="Y771" s="48">
        <f>ROUND((M771*J771+1.3*M771*N771+S771*G771),4)</f>
        <v>182.31</v>
      </c>
      <c r="Z771" s="49">
        <f>ROUND((P771*T771*F771*O771/1000000),4)</f>
        <v>3.3799999999999997E-2</v>
      </c>
      <c r="AA771" s="49">
        <f>ROUND((Q771*U771*F771*O771/1000000),4)</f>
        <v>3.3799999999999997E-2</v>
      </c>
      <c r="AB771" s="49">
        <f>ROUND((R771*V771*F771*O771/1000000),4)</f>
        <v>0</v>
      </c>
      <c r="AC771" s="50" t="s">
        <v>200</v>
      </c>
      <c r="AD771" s="51" t="s">
        <v>153</v>
      </c>
      <c r="AE771" s="44">
        <f>ROUND((((X771*E771)/1800)*0.8),4)</f>
        <v>8.1000000000000003E-2</v>
      </c>
      <c r="AF771" s="44">
        <f>ROUND(((Z771+AA771+AB771)*0.8),4)</f>
        <v>5.4100000000000002E-2</v>
      </c>
    </row>
    <row r="772" spans="1:34" ht="12.95" customHeight="1" x14ac:dyDescent="0.25">
      <c r="A772" s="89"/>
      <c r="B772" s="53" t="s">
        <v>241</v>
      </c>
      <c r="C772" s="52"/>
      <c r="D772" s="52"/>
      <c r="E772" s="52"/>
      <c r="F772" s="52"/>
      <c r="G772" s="52"/>
      <c r="H772" s="52"/>
      <c r="I772" s="52"/>
      <c r="J772" s="52"/>
      <c r="K772" s="52"/>
      <c r="L772" s="56"/>
      <c r="M772" s="56"/>
      <c r="N772" s="52"/>
      <c r="O772" s="52"/>
      <c r="P772" s="52"/>
      <c r="Q772" s="52"/>
      <c r="R772" s="52"/>
      <c r="S772" s="57"/>
      <c r="T772" s="54"/>
      <c r="U772" s="54"/>
      <c r="V772" s="54"/>
      <c r="W772" s="54"/>
      <c r="X772" s="54"/>
      <c r="Y772" s="54"/>
      <c r="Z772" s="54"/>
      <c r="AA772" s="54"/>
      <c r="AB772" s="54"/>
      <c r="AC772" s="50" t="s">
        <v>201</v>
      </c>
      <c r="AD772" s="51" t="s">
        <v>202</v>
      </c>
      <c r="AE772" s="44">
        <f>ROUND((((X771*E771)/1800)*0.13),4)</f>
        <v>1.32E-2</v>
      </c>
      <c r="AF772" s="44">
        <f>ROUND(((Z771+AA771+AB771)*0.13),4)</f>
        <v>8.8000000000000005E-3</v>
      </c>
    </row>
    <row r="773" spans="1:34" ht="12.95" customHeight="1" x14ac:dyDescent="0.25">
      <c r="A773" s="89"/>
      <c r="B773" s="67"/>
      <c r="C773" s="55"/>
      <c r="D773" s="55"/>
      <c r="E773" s="52"/>
      <c r="F773" s="52"/>
      <c r="G773" s="52"/>
      <c r="H773" s="52"/>
      <c r="I773" s="52"/>
      <c r="J773" s="52"/>
      <c r="K773" s="52"/>
      <c r="L773" s="59">
        <v>0.51</v>
      </c>
      <c r="M773" s="59">
        <v>0.63</v>
      </c>
      <c r="N773" s="52"/>
      <c r="O773" s="52"/>
      <c r="P773" s="52"/>
      <c r="Q773" s="52"/>
      <c r="R773" s="52"/>
      <c r="S773" s="60">
        <v>0.25</v>
      </c>
      <c r="T773" s="48">
        <f>ROUND((L773*I771+1.3*L773*K771+S773*H771),4)</f>
        <v>186.74250000000001</v>
      </c>
      <c r="U773" s="48">
        <f>ROUND((M773*0.9*I771+1.3*M773*0.9*K771+S773*H771),4)</f>
        <v>205.93729999999999</v>
      </c>
      <c r="V773" s="48">
        <f>ROUND((M773*I771+1.3*M773*K771+S773*H771),4)</f>
        <v>227.1525</v>
      </c>
      <c r="W773" s="48">
        <f>ROUND((L773*J771+1.3*L773*N771+S773*G771),4)</f>
        <v>15.27</v>
      </c>
      <c r="X773" s="48">
        <f>ROUND((M773*0.9*J771+1.3*M773*0.9*N771+S773*G771),4)</f>
        <v>16.809000000000001</v>
      </c>
      <c r="Y773" s="48">
        <f>ROUND((M773*J771+1.3*M773*N771+S773*G771),4)</f>
        <v>18.510000000000002</v>
      </c>
      <c r="Z773" s="49">
        <f>ROUND((P771*T773*F771*O771/1000000),4)</f>
        <v>2.8E-3</v>
      </c>
      <c r="AA773" s="49">
        <f>ROUND((Q771*U773*F771*O771/1000000),4)</f>
        <v>3.0999999999999999E-3</v>
      </c>
      <c r="AB773" s="49">
        <f>ROUND((R771*V773*F771*O771/1000000),4)</f>
        <v>0</v>
      </c>
      <c r="AC773" s="50" t="s">
        <v>203</v>
      </c>
      <c r="AD773" s="51" t="s">
        <v>204</v>
      </c>
      <c r="AE773" s="44">
        <f>ROUND((((X773*E771)/1800)),4)</f>
        <v>9.2999999999999992E-3</v>
      </c>
      <c r="AF773" s="44">
        <f>ROUND(((Z773+AA773+AB773)),5)</f>
        <v>5.8999999999999999E-3</v>
      </c>
    </row>
    <row r="774" spans="1:34" ht="12.95" customHeight="1" x14ac:dyDescent="0.25">
      <c r="A774" s="89"/>
      <c r="B774" s="53"/>
      <c r="C774" s="52"/>
      <c r="D774" s="52"/>
      <c r="E774" s="52"/>
      <c r="F774" s="52"/>
      <c r="G774" s="52"/>
      <c r="H774" s="52"/>
      <c r="I774" s="52"/>
      <c r="J774" s="52"/>
      <c r="K774" s="52"/>
      <c r="L774" s="59">
        <v>1.1399999999999999</v>
      </c>
      <c r="M774" s="59">
        <v>1.37</v>
      </c>
      <c r="N774" s="52"/>
      <c r="O774" s="52"/>
      <c r="P774" s="52"/>
      <c r="Q774" s="52"/>
      <c r="R774" s="52"/>
      <c r="S774" s="61">
        <v>0.79</v>
      </c>
      <c r="T774" s="48">
        <f>ROUND((L774*I771+1.3*L774*K771+S774*H771),4)</f>
        <v>431.29500000000002</v>
      </c>
      <c r="U774" s="48">
        <f>ROUND((M774*0.9*I771+1.3*M774*0.9*K771+S774*H771),4)</f>
        <v>462.61279999999999</v>
      </c>
      <c r="V774" s="48">
        <f>ROUND((M774*I771+1.3*M774*K771+S774*H771),4)</f>
        <v>508.7475</v>
      </c>
      <c r="W774" s="48">
        <f>ROUND((L774*J771+1.3*L774*N771+S774*G771),4)</f>
        <v>35.520000000000003</v>
      </c>
      <c r="X774" s="48">
        <f>ROUND((M774*0.9*J771+1.3*M774*0.9*N771+S774*G771),4)</f>
        <v>38.030999999999999</v>
      </c>
      <c r="Y774" s="48">
        <f>ROUND((M774*J771+1.3*N771+S774*G771),4)</f>
        <v>36.92</v>
      </c>
      <c r="Z774" s="49">
        <f>ROUND((P771*T774*F771*O771/1000000),4)</f>
        <v>6.4999999999999997E-3</v>
      </c>
      <c r="AA774" s="49">
        <f>ROUND((Q771*U774*F771*O771/1000000),4)</f>
        <v>6.8999999999999999E-3</v>
      </c>
      <c r="AB774" s="49">
        <f>ROUND((R771*V774*F771*O771/1000000),4)</f>
        <v>0</v>
      </c>
      <c r="AC774" s="50" t="s">
        <v>205</v>
      </c>
      <c r="AD774" s="51" t="s">
        <v>206</v>
      </c>
      <c r="AE774" s="44">
        <f>ROUND((((X774*E771)/1800)),4)</f>
        <v>2.1100000000000001E-2</v>
      </c>
      <c r="AF774" s="44">
        <f>ROUND(((Z774+AA774+AB774)),4)</f>
        <v>1.34E-2</v>
      </c>
    </row>
    <row r="775" spans="1:34" ht="12.95" customHeight="1" x14ac:dyDescent="0.25">
      <c r="A775" s="89"/>
      <c r="B775" s="53"/>
      <c r="C775" s="52"/>
      <c r="D775" s="52"/>
      <c r="E775" s="52"/>
      <c r="F775" s="52"/>
      <c r="G775" s="52"/>
      <c r="H775" s="52"/>
      <c r="I775" s="52"/>
      <c r="J775" s="52"/>
      <c r="K775" s="52"/>
      <c r="L775" s="59">
        <v>0.72</v>
      </c>
      <c r="M775" s="59">
        <v>1.08</v>
      </c>
      <c r="N775" s="52"/>
      <c r="O775" s="52"/>
      <c r="P775" s="52"/>
      <c r="Q775" s="52"/>
      <c r="R775" s="52"/>
      <c r="S775" s="61">
        <v>0.17</v>
      </c>
      <c r="T775" s="48">
        <f>ROUND((L775*I771+1.3*L775*K771+S775*H771),4)</f>
        <v>252.66</v>
      </c>
      <c r="U775" s="48">
        <f>ROUND((M775*0.9*I771+1.3*M775*0.9*K771+S775*H771),4)</f>
        <v>337.52100000000002</v>
      </c>
      <c r="V775" s="48">
        <f>ROUND((M775*I771+1.3*M775*K771+S775*H771),4)</f>
        <v>373.89</v>
      </c>
      <c r="W775" s="48">
        <f>ROUND((L775*J771+1.3*L775*N771+S775*G771),4)</f>
        <v>20.46</v>
      </c>
      <c r="X775" s="48">
        <f>ROUND((M775*0.9*J771+1.3*M775*0.9*N771+S775*G771),4)</f>
        <v>27.263999999999999</v>
      </c>
      <c r="Y775" s="48">
        <f>ROUND((M775*J771+1.3*M775*N771+S775*G771),4)</f>
        <v>30.18</v>
      </c>
      <c r="Z775" s="49">
        <f>ROUND((P771*T775*F771*O771/1000000),4)</f>
        <v>3.8E-3</v>
      </c>
      <c r="AA775" s="49">
        <f>ROUND((Q771*U775*F771*O771/1000000),4)</f>
        <v>5.1000000000000004E-3</v>
      </c>
      <c r="AB775" s="49">
        <f>ROUND((R771*V775*F771*O771/1000000),4)</f>
        <v>0</v>
      </c>
      <c r="AC775" s="50" t="s">
        <v>250</v>
      </c>
      <c r="AD775" s="51" t="s">
        <v>208</v>
      </c>
      <c r="AE775" s="44">
        <f>ROUND((((X775*E771)/1800)),4)</f>
        <v>1.5100000000000001E-2</v>
      </c>
      <c r="AF775" s="44">
        <f>ROUND(((Z775+AA775+AB775)),4)</f>
        <v>8.8999999999999999E-3</v>
      </c>
    </row>
    <row r="776" spans="1:34" ht="12.95" customHeight="1" x14ac:dyDescent="0.25">
      <c r="A776" s="89"/>
      <c r="B776" s="62"/>
      <c r="C776" s="56"/>
      <c r="D776" s="56"/>
      <c r="E776" s="56"/>
      <c r="F776" s="56"/>
      <c r="G776" s="56"/>
      <c r="H776" s="56"/>
      <c r="I776" s="56"/>
      <c r="J776" s="56"/>
      <c r="K776" s="56"/>
      <c r="L776" s="59">
        <v>3.37</v>
      </c>
      <c r="M776" s="59">
        <v>4.1100000000000003</v>
      </c>
      <c r="N776" s="56"/>
      <c r="O776" s="56"/>
      <c r="P776" s="56"/>
      <c r="Q776" s="56"/>
      <c r="R776" s="56"/>
      <c r="S776" s="61">
        <v>6.31</v>
      </c>
      <c r="T776" s="48">
        <f>ROUND((L776*I771+1.3*L776*K771+S776*H771),4)</f>
        <v>1513.4475</v>
      </c>
      <c r="U776" s="48">
        <f>ROUND((M776*0.9*I771+1.3*M776*0.9*K771+S776*H771),4)</f>
        <v>1624.2383</v>
      </c>
      <c r="V776" s="48">
        <f>ROUND((M776*I771+1.3*M776*K771+S776*H771),4)</f>
        <v>1762.6424999999999</v>
      </c>
      <c r="W776" s="48">
        <f>ROUND((L776*J771+1.3*L776*N771+S776*G771),4)</f>
        <v>128.85</v>
      </c>
      <c r="X776" s="48">
        <f>ROUND((M776*0.9*J771+1.3*M776*0.9*N771+S776*G771),4)</f>
        <v>137.733</v>
      </c>
      <c r="Y776" s="48">
        <f>ROUND((M776*J771+1.3*M776*N771+S776*G771),4)</f>
        <v>148.83000000000001</v>
      </c>
      <c r="Z776" s="49">
        <f>ROUND((P771*T776*F771*O771/1000000),4)</f>
        <v>2.2700000000000001E-2</v>
      </c>
      <c r="AA776" s="49">
        <f>ROUND((Q771*U776*F771*O771/1000000),4)</f>
        <v>2.4400000000000002E-2</v>
      </c>
      <c r="AB776" s="49">
        <f>ROUND((R771*V776*F771*O771/1000000),4)</f>
        <v>0</v>
      </c>
      <c r="AC776" s="50" t="s">
        <v>170</v>
      </c>
      <c r="AD776" s="51" t="s">
        <v>162</v>
      </c>
      <c r="AE776" s="44">
        <f>ROUND((((X776*E771)/1800)),4)</f>
        <v>7.6499999999999999E-2</v>
      </c>
      <c r="AF776" s="44">
        <f>ROUND(((Z776+AA776+AB776)),4)</f>
        <v>4.7100000000000003E-2</v>
      </c>
    </row>
    <row r="777" spans="1:34" ht="12.95" customHeight="1" x14ac:dyDescent="0.25">
      <c r="A777" s="52"/>
      <c r="B777" s="67" t="s">
        <v>242</v>
      </c>
      <c r="C777" s="46">
        <v>3</v>
      </c>
      <c r="D777" s="45" t="s">
        <v>228</v>
      </c>
      <c r="E777" s="45">
        <v>1</v>
      </c>
      <c r="F777" s="45">
        <v>1</v>
      </c>
      <c r="G777" s="45">
        <v>6</v>
      </c>
      <c r="H777" s="45">
        <v>60</v>
      </c>
      <c r="I777" s="45">
        <f>(8-1-0.75*2)*60*F777-K777-8*0.12*60</f>
        <v>57.900000000000006</v>
      </c>
      <c r="J777" s="45">
        <v>14</v>
      </c>
      <c r="K777" s="45">
        <f>(8-1-0.75*2)*0.65*60*F777</f>
        <v>214.5</v>
      </c>
      <c r="L777" s="48">
        <v>1.49</v>
      </c>
      <c r="M777" s="48">
        <v>1.49</v>
      </c>
      <c r="N777" s="45">
        <v>10</v>
      </c>
      <c r="O777" s="45">
        <f>E777/F777</f>
        <v>1</v>
      </c>
      <c r="P777" s="45">
        <v>150</v>
      </c>
      <c r="Q777" s="45">
        <v>60</v>
      </c>
      <c r="R777" s="47">
        <v>30</v>
      </c>
      <c r="S777" s="47">
        <v>0.28999999999999998</v>
      </c>
      <c r="T777" s="48">
        <f>ROUND((L777*I777+1.3*L777*K777+S777*H777),4)</f>
        <v>519.15750000000003</v>
      </c>
      <c r="U777" s="48">
        <f>ROUND((M777*I777+1.3*M777*K777+S777*H777),4)</f>
        <v>519.15750000000003</v>
      </c>
      <c r="V777" s="48">
        <f>ROUND((M777*I777+1.3*M777*K777+S777*H777),4)</f>
        <v>519.15750000000003</v>
      </c>
      <c r="W777" s="48">
        <f>ROUND((L777*J777+1.3*L777*N777+S777*G777),4)</f>
        <v>41.97</v>
      </c>
      <c r="X777" s="48">
        <f>ROUND((M777*J777+1.3*M777*N777+S777*G777),4)</f>
        <v>41.97</v>
      </c>
      <c r="Y777" s="48">
        <f>ROUND((M777*J777+1.3*M777*N777+S777*G777),4)</f>
        <v>41.97</v>
      </c>
      <c r="Z777" s="49">
        <f>ROUND((P777*T777*F777*O777/1000000),4)</f>
        <v>7.7899999999999997E-2</v>
      </c>
      <c r="AA777" s="49">
        <f>ROUND((Q777*U777*F777*O777/1000000),4)</f>
        <v>3.1099999999999999E-2</v>
      </c>
      <c r="AB777" s="49">
        <f>ROUND((R777*V777*F777*O777/1000000),4)</f>
        <v>1.5599999999999999E-2</v>
      </c>
      <c r="AC777" s="50" t="s">
        <v>200</v>
      </c>
      <c r="AD777" s="51" t="s">
        <v>153</v>
      </c>
      <c r="AE777" s="44">
        <f>ROUND((((X777*E777)/1800)*0.8),4)</f>
        <v>1.8700000000000001E-2</v>
      </c>
      <c r="AF777" s="44">
        <f>ROUND(((Z777+AA777+AB777)*0.8),4)</f>
        <v>9.9699999999999997E-2</v>
      </c>
      <c r="AG777" s="88"/>
      <c r="AH777" s="88"/>
    </row>
    <row r="778" spans="1:34" ht="12.95" customHeight="1" x14ac:dyDescent="0.25">
      <c r="A778" s="52"/>
      <c r="B778" s="53" t="s">
        <v>243</v>
      </c>
      <c r="C778" s="52"/>
      <c r="D778" s="52"/>
      <c r="E778" s="52"/>
      <c r="F778" s="52"/>
      <c r="G778" s="52"/>
      <c r="H778" s="52"/>
      <c r="I778" s="52"/>
      <c r="J778" s="52"/>
      <c r="K778" s="52"/>
      <c r="L778" s="56"/>
      <c r="M778" s="56"/>
      <c r="N778" s="52"/>
      <c r="O778" s="52"/>
      <c r="P778" s="52"/>
      <c r="Q778" s="52"/>
      <c r="R778" s="52"/>
      <c r="S778" s="57"/>
      <c r="T778" s="54"/>
      <c r="U778" s="54"/>
      <c r="V778" s="54"/>
      <c r="W778" s="54"/>
      <c r="X778" s="54"/>
      <c r="Y778" s="54"/>
      <c r="Z778" s="54"/>
      <c r="AA778" s="54"/>
      <c r="AB778" s="54"/>
      <c r="AC778" s="50" t="s">
        <v>201</v>
      </c>
      <c r="AD778" s="51" t="s">
        <v>202</v>
      </c>
      <c r="AE778" s="44">
        <f>ROUND((((X777*E777)/1800)*0.13),4)</f>
        <v>3.0000000000000001E-3</v>
      </c>
      <c r="AF778" s="44">
        <f>ROUND(((Z777+AA777+AB777)*0.13),4)</f>
        <v>1.6199999999999999E-2</v>
      </c>
      <c r="AG778" s="88"/>
      <c r="AH778" s="88"/>
    </row>
    <row r="779" spans="1:34" ht="12.95" customHeight="1" x14ac:dyDescent="0.25">
      <c r="A779" s="52"/>
      <c r="B779" s="88"/>
      <c r="C779" s="55"/>
      <c r="D779" s="55"/>
      <c r="E779" s="52"/>
      <c r="F779" s="52"/>
      <c r="G779" s="52"/>
      <c r="H779" s="52"/>
      <c r="I779" s="52"/>
      <c r="J779" s="52"/>
      <c r="K779" s="52"/>
      <c r="L779" s="59">
        <v>0.12</v>
      </c>
      <c r="M779" s="59">
        <v>0.15</v>
      </c>
      <c r="N779" s="52"/>
      <c r="O779" s="52"/>
      <c r="P779" s="52"/>
      <c r="Q779" s="52"/>
      <c r="R779" s="52"/>
      <c r="S779" s="60">
        <v>5.8000000000000003E-2</v>
      </c>
      <c r="T779" s="48">
        <f>ROUND((L779*I777+1.3*L779*K777+S779*H777),4)</f>
        <v>43.89</v>
      </c>
      <c r="U779" s="48">
        <f>ROUND((M779*0.9*I777+1.3*M779*0.9*K777+S779*H777),4)</f>
        <v>48.941299999999998</v>
      </c>
      <c r="V779" s="48">
        <f>ROUND((M779*I777+1.3*M779*K777+S779*H777),4)</f>
        <v>53.9925</v>
      </c>
      <c r="W779" s="48">
        <f>ROUND((L779*J777+1.3*L779*N777+S779*G777),4)</f>
        <v>3.5880000000000001</v>
      </c>
      <c r="X779" s="48">
        <f>ROUND((M779*0.9*J777+1.3*M779*0.9*N777+S779*G777),4)</f>
        <v>3.9929999999999999</v>
      </c>
      <c r="Y779" s="48">
        <f>ROUND((M779*J777+1.3*M779*N777+S779*G777),4)</f>
        <v>4.3979999999999997</v>
      </c>
      <c r="Z779" s="49">
        <f>ROUND((P777*T779*F777*O777/1000000),4)</f>
        <v>6.6E-3</v>
      </c>
      <c r="AA779" s="49">
        <f>ROUND((Q777*U779*F777*O777/1000000),4)</f>
        <v>2.8999999999999998E-3</v>
      </c>
      <c r="AB779" s="49">
        <f>ROUND((R777*V779*F777*O777/1000000),4)</f>
        <v>1.6000000000000001E-3</v>
      </c>
      <c r="AC779" s="50" t="s">
        <v>203</v>
      </c>
      <c r="AD779" s="51" t="s">
        <v>204</v>
      </c>
      <c r="AE779" s="44">
        <f>ROUND((((X779*E777)/1800)),4)</f>
        <v>2.2000000000000001E-3</v>
      </c>
      <c r="AF779" s="44">
        <f>ROUND(((Z779+AA779+AB779)),5)</f>
        <v>1.11E-2</v>
      </c>
      <c r="AG779" s="88"/>
      <c r="AH779" s="88"/>
    </row>
    <row r="780" spans="1:34" ht="12.95" customHeight="1" x14ac:dyDescent="0.25">
      <c r="A780" s="52"/>
      <c r="B780" s="88"/>
      <c r="C780" s="52"/>
      <c r="D780" s="52"/>
      <c r="E780" s="52"/>
      <c r="F780" s="63"/>
      <c r="G780" s="52"/>
      <c r="H780" s="52"/>
      <c r="I780" s="52"/>
      <c r="J780" s="52"/>
      <c r="K780" s="52"/>
      <c r="L780" s="59">
        <v>0.26</v>
      </c>
      <c r="M780" s="59">
        <v>0.31</v>
      </c>
      <c r="N780" s="52"/>
      <c r="O780" s="52"/>
      <c r="P780" s="52"/>
      <c r="Q780" s="52"/>
      <c r="R780" s="52"/>
      <c r="S780" s="61">
        <v>0.18</v>
      </c>
      <c r="T780" s="48">
        <f>ROUND((L780*I777+1.3*L780*K777+S780*H777),4)</f>
        <v>98.355000000000004</v>
      </c>
      <c r="U780" s="48">
        <f>ROUND((M780*0.9*I777+1.3*M780*0.9*K777+S780*H777),4)</f>
        <v>104.7533</v>
      </c>
      <c r="V780" s="48">
        <f>ROUND((M780*I777+1.3*M780*K777+S780*H777),4)</f>
        <v>115.1925</v>
      </c>
      <c r="W780" s="48">
        <f>ROUND((L780*J777+1.3*L780*N777+S780*G777),4)</f>
        <v>8.1</v>
      </c>
      <c r="X780" s="48">
        <f>ROUND((M780*0.9*J777+1.3*M780*0.9*N777+S780*G777),4)</f>
        <v>8.6129999999999995</v>
      </c>
      <c r="Y780" s="48">
        <f>ROUND((M780*J777+1.3*N777+S780*G777),4)</f>
        <v>18.420000000000002</v>
      </c>
      <c r="Z780" s="49">
        <f>ROUND((P777*T780*F777*O777/1000000),4)</f>
        <v>1.4800000000000001E-2</v>
      </c>
      <c r="AA780" s="49">
        <f>ROUND((Q777*U780*F777*O777/1000000),4)</f>
        <v>6.3E-3</v>
      </c>
      <c r="AB780" s="49">
        <f>ROUND((R777*V780*F777*O777/1000000),4)</f>
        <v>3.5000000000000001E-3</v>
      </c>
      <c r="AC780" s="50" t="s">
        <v>205</v>
      </c>
      <c r="AD780" s="51" t="s">
        <v>206</v>
      </c>
      <c r="AE780" s="44">
        <f>ROUND((((X780*E777)/1800)),4)</f>
        <v>4.7999999999999996E-3</v>
      </c>
      <c r="AF780" s="44">
        <f>ROUND(((Z780+AA780+AB780)),4)</f>
        <v>2.46E-2</v>
      </c>
      <c r="AG780" s="88"/>
      <c r="AH780" s="88"/>
    </row>
    <row r="781" spans="1:34" ht="12.95" customHeight="1" x14ac:dyDescent="0.25">
      <c r="A781" s="52"/>
      <c r="B781" s="53"/>
      <c r="C781" s="52"/>
      <c r="D781" s="52"/>
      <c r="E781" s="52"/>
      <c r="F781" s="63"/>
      <c r="G781" s="52"/>
      <c r="H781" s="52"/>
      <c r="I781" s="52"/>
      <c r="J781" s="52"/>
      <c r="K781" s="52"/>
      <c r="L781" s="59">
        <v>0.17</v>
      </c>
      <c r="M781" s="59">
        <v>0.25</v>
      </c>
      <c r="N781" s="52"/>
      <c r="O781" s="52"/>
      <c r="P781" s="52"/>
      <c r="Q781" s="52"/>
      <c r="R781" s="52"/>
      <c r="S781" s="61">
        <v>0.04</v>
      </c>
      <c r="T781" s="48">
        <f>ROUND((L781*I777+1.3*L781*K777+S781*H777),4)</f>
        <v>59.647500000000001</v>
      </c>
      <c r="U781" s="48">
        <f>ROUND((M781*0.9*I777+1.3*M781*0.9*K777+S781*H777),4)</f>
        <v>78.168800000000005</v>
      </c>
      <c r="V781" s="48">
        <f>ROUND((M781*I777+1.3*M781*K777+S781*H777),4)</f>
        <v>86.587500000000006</v>
      </c>
      <c r="W781" s="48">
        <f>ROUND((L781*J777+1.3*L781*N777+S781*G777),4)</f>
        <v>4.83</v>
      </c>
      <c r="X781" s="48">
        <f>ROUND((M781*0.9*J777+1.3*M781*0.9*N777+S781*G777),4)</f>
        <v>6.3150000000000004</v>
      </c>
      <c r="Y781" s="48">
        <f>ROUND((M781*J777+1.3*M781*N777+S781*G777),4)</f>
        <v>6.99</v>
      </c>
      <c r="Z781" s="49">
        <f>ROUND((P777*T781*F777*O777/1000000),4)</f>
        <v>8.8999999999999999E-3</v>
      </c>
      <c r="AA781" s="49">
        <f>ROUND((Q777*U781*F777*O777/1000000),4)</f>
        <v>4.7000000000000002E-3</v>
      </c>
      <c r="AB781" s="49">
        <f>ROUND((R777*V781*F777*O777/1000000),4)</f>
        <v>2.5999999999999999E-3</v>
      </c>
      <c r="AC781" s="50" t="s">
        <v>250</v>
      </c>
      <c r="AD781" s="51" t="s">
        <v>208</v>
      </c>
      <c r="AE781" s="44">
        <f>ROUND((((X781*E777)/1800)),4)</f>
        <v>3.5000000000000001E-3</v>
      </c>
      <c r="AF781" s="44">
        <f>ROUND(((Z781+AA781+AB781)),4)</f>
        <v>1.6199999999999999E-2</v>
      </c>
      <c r="AG781" s="88"/>
      <c r="AH781" s="88"/>
    </row>
    <row r="782" spans="1:34" ht="12.95" customHeight="1" x14ac:dyDescent="0.25">
      <c r="A782" s="56"/>
      <c r="B782" s="62"/>
      <c r="C782" s="56"/>
      <c r="D782" s="56"/>
      <c r="E782" s="56"/>
      <c r="F782" s="66"/>
      <c r="G782" s="56"/>
      <c r="H782" s="56"/>
      <c r="I782" s="56"/>
      <c r="J782" s="56"/>
      <c r="K782" s="56"/>
      <c r="L782" s="59">
        <v>0.77</v>
      </c>
      <c r="M782" s="59">
        <v>0.94</v>
      </c>
      <c r="N782" s="56"/>
      <c r="O782" s="56"/>
      <c r="P782" s="56"/>
      <c r="Q782" s="56"/>
      <c r="R782" s="56"/>
      <c r="S782" s="61">
        <v>1.44</v>
      </c>
      <c r="T782" s="48">
        <f>ROUND((L782*I777+1.3*L782*K777+S782*H777),4)</f>
        <v>345.69749999999999</v>
      </c>
      <c r="U782" s="48">
        <f>ROUND((M782*0.9*I777+1.3*M782*0.9*K777+S782*H777),4)</f>
        <v>371.29050000000001</v>
      </c>
      <c r="V782" s="48">
        <f>ROUND((M782*I777+1.3*M782*K777+S782*H777),4)</f>
        <v>402.94499999999999</v>
      </c>
      <c r="W782" s="48">
        <f>ROUND((L782*J777+1.3*L782*N777+S782*G777),4)</f>
        <v>29.43</v>
      </c>
      <c r="X782" s="48">
        <f>ROUND((M782*0.9*J777+1.3*M782*0.9*N777+S782*G777),4)</f>
        <v>31.481999999999999</v>
      </c>
      <c r="Y782" s="48">
        <f>ROUND((M782*J777+1.3*M782*N777+S782*G777),4)</f>
        <v>34.020000000000003</v>
      </c>
      <c r="Z782" s="49">
        <f>ROUND((P777*T782*F777*O777/1000000),4)</f>
        <v>5.1900000000000002E-2</v>
      </c>
      <c r="AA782" s="49">
        <f>ROUND((Q777*U782*F777*O777/1000000),4)</f>
        <v>2.23E-2</v>
      </c>
      <c r="AB782" s="49">
        <f>ROUND((R777*V782*F777*O777/1000000),4)</f>
        <v>1.21E-2</v>
      </c>
      <c r="AC782" s="50" t="s">
        <v>170</v>
      </c>
      <c r="AD782" s="51" t="s">
        <v>162</v>
      </c>
      <c r="AE782" s="44">
        <f>ROUND((((X782*E777)/1800)),4)</f>
        <v>1.7500000000000002E-2</v>
      </c>
      <c r="AF782" s="44">
        <f>ROUND(((Z782+AA782+AB782)),4)</f>
        <v>8.6300000000000002E-2</v>
      </c>
      <c r="AG782" s="87"/>
      <c r="AH782" s="87"/>
    </row>
    <row r="783" spans="1:34" s="285" customFormat="1" ht="12.95" customHeight="1" x14ac:dyDescent="0.2">
      <c r="A783" s="1057" t="s">
        <v>553</v>
      </c>
      <c r="B783" s="1058"/>
      <c r="C783" s="1058"/>
      <c r="D783" s="1058"/>
      <c r="E783" s="1058"/>
      <c r="F783" s="1058"/>
      <c r="G783" s="1058"/>
      <c r="H783" s="1058"/>
      <c r="I783" s="1058"/>
      <c r="J783" s="1058"/>
      <c r="K783" s="1058"/>
      <c r="L783" s="1058"/>
      <c r="M783" s="1058"/>
      <c r="N783" s="1058"/>
      <c r="O783" s="1058"/>
      <c r="P783" s="1058"/>
      <c r="Q783" s="1058"/>
      <c r="R783" s="1058"/>
      <c r="S783" s="1059"/>
      <c r="T783" s="280">
        <f>ROUND((L783*I783+1.3*L783*K783+S783*H783),4)</f>
        <v>0</v>
      </c>
      <c r="U783" s="280">
        <f>ROUND((M783*I783+1.3*M783*K783+S783*H783),4)</f>
        <v>0</v>
      </c>
      <c r="V783" s="280">
        <f>ROUND((M783*I783+1.3*M783*K783+S783*H783),4)</f>
        <v>0</v>
      </c>
      <c r="W783" s="280">
        <f>ROUND((L783*J783+1.3*L783*N783+S783*G783),4)</f>
        <v>0</v>
      </c>
      <c r="X783" s="280">
        <f>ROUND((M783*J783+1.3*M783*N783+S783*G783),4)</f>
        <v>0</v>
      </c>
      <c r="Y783" s="280">
        <f>ROUND((M783*J783+1.3*M783*N783+S783*G783),4)</f>
        <v>0</v>
      </c>
      <c r="Z783" s="281">
        <f>ROUND((P783*T783*F783*O783/1000000),4)</f>
        <v>0</v>
      </c>
      <c r="AA783" s="281">
        <f>ROUND((Q783*U783*F783*O783/1000000),4)</f>
        <v>0</v>
      </c>
      <c r="AB783" s="281">
        <f>ROUND((R783*V783*F783*O783/1000000),4)</f>
        <v>0</v>
      </c>
      <c r="AC783" s="282" t="s">
        <v>200</v>
      </c>
      <c r="AD783" s="283" t="s">
        <v>153</v>
      </c>
      <c r="AE783" s="284">
        <f>MAX(AE699,AE705,AE711,AE717,AE723,AE729,AE735,AE741,AE747,AE753,AE759,AE765,AE771,AE777)</f>
        <v>0.12720000000000001</v>
      </c>
      <c r="AF783" s="284">
        <f>AF699+AF705+AF711+AF717+AF723+AF729+AF735+AF741+AF747+AF753+AF759+AF765+AF771+AF777</f>
        <v>4.4210000000000003</v>
      </c>
      <c r="AG783" s="292"/>
      <c r="AH783" s="292"/>
    </row>
    <row r="784" spans="1:34" s="285" customFormat="1" ht="12.95" customHeight="1" x14ac:dyDescent="0.2">
      <c r="A784" s="1057"/>
      <c r="B784" s="1060"/>
      <c r="C784" s="1060"/>
      <c r="D784" s="1060"/>
      <c r="E784" s="1060"/>
      <c r="F784" s="1060"/>
      <c r="G784" s="1060"/>
      <c r="H784" s="1060"/>
      <c r="I784" s="1060"/>
      <c r="J784" s="1060"/>
      <c r="K784" s="1060"/>
      <c r="L784" s="1060"/>
      <c r="M784" s="1060"/>
      <c r="N784" s="1060"/>
      <c r="O784" s="1060"/>
      <c r="P784" s="1060"/>
      <c r="Q784" s="1060"/>
      <c r="R784" s="1060"/>
      <c r="S784" s="1061"/>
      <c r="T784" s="286"/>
      <c r="U784" s="286"/>
      <c r="V784" s="286"/>
      <c r="W784" s="286"/>
      <c r="X784" s="286"/>
      <c r="Y784" s="286"/>
      <c r="Z784" s="286"/>
      <c r="AA784" s="286"/>
      <c r="AB784" s="286"/>
      <c r="AC784" s="282" t="s">
        <v>201</v>
      </c>
      <c r="AD784" s="283" t="s">
        <v>202</v>
      </c>
      <c r="AE784" s="284">
        <f t="shared" ref="AE784:AE788" si="14">MAX(AE700,AE706,AE712,AE718,AE724,AE730,AE736,AE742,AE748,AE754,AE760,AE766,AE772,AE778)</f>
        <v>2.07E-2</v>
      </c>
      <c r="AF784" s="284">
        <f t="shared" ref="AF784:AF788" si="15">AF700+AF706+AF712+AF718+AF724+AF730+AF736+AF742+AF748+AF754+AF760+AF766+AF772+AF778</f>
        <v>0.71839999999999993</v>
      </c>
      <c r="AG784" s="292"/>
      <c r="AH784" s="292"/>
    </row>
    <row r="785" spans="1:34" s="285" customFormat="1" ht="12.95" customHeight="1" x14ac:dyDescent="0.2">
      <c r="A785" s="1057"/>
      <c r="B785" s="1060"/>
      <c r="C785" s="1060"/>
      <c r="D785" s="1060"/>
      <c r="E785" s="1060"/>
      <c r="F785" s="1060"/>
      <c r="G785" s="1060"/>
      <c r="H785" s="1060"/>
      <c r="I785" s="1060"/>
      <c r="J785" s="1060"/>
      <c r="K785" s="1060"/>
      <c r="L785" s="1060"/>
      <c r="M785" s="1060"/>
      <c r="N785" s="1060"/>
      <c r="O785" s="1060"/>
      <c r="P785" s="1060"/>
      <c r="Q785" s="1060"/>
      <c r="R785" s="1060"/>
      <c r="S785" s="1061"/>
      <c r="T785" s="280">
        <f>ROUND((L785*I783+1.3*L785*K783+S785*H783),4)</f>
        <v>0</v>
      </c>
      <c r="U785" s="280">
        <f>ROUND((M785*0.9*I783+1.3*M785*0.9*K783+S785*H783),4)</f>
        <v>0</v>
      </c>
      <c r="V785" s="280">
        <f>ROUND((M785*I783+1.3*M785*K783+S785*H783),4)</f>
        <v>0</v>
      </c>
      <c r="W785" s="280">
        <f>ROUND((L785*J783+1.3*L785*N783+S785*G783),4)</f>
        <v>0</v>
      </c>
      <c r="X785" s="280">
        <f>ROUND((M785*0.9*J783+1.3*M785*0.9*N783+S785*G783),4)</f>
        <v>0</v>
      </c>
      <c r="Y785" s="280">
        <f>ROUND((M785*J783+1.3*M785*N783+S785*G783),4)</f>
        <v>0</v>
      </c>
      <c r="Z785" s="281">
        <f>ROUND((P783*T785*F783*O783/1000000),4)</f>
        <v>0</v>
      </c>
      <c r="AA785" s="281">
        <f>ROUND((Q783*U785*F783*O783/1000000),4)</f>
        <v>0</v>
      </c>
      <c r="AB785" s="281">
        <f>ROUND((R783*V785*F783*O783/1000000),4)</f>
        <v>0</v>
      </c>
      <c r="AC785" s="282" t="s">
        <v>203</v>
      </c>
      <c r="AD785" s="283" t="s">
        <v>204</v>
      </c>
      <c r="AE785" s="284">
        <f t="shared" si="14"/>
        <v>1.4500000000000001E-2</v>
      </c>
      <c r="AF785" s="284">
        <f t="shared" si="15"/>
        <v>0.5122000000000001</v>
      </c>
      <c r="AG785" s="292"/>
      <c r="AH785" s="292"/>
    </row>
    <row r="786" spans="1:34" s="285" customFormat="1" ht="12.95" customHeight="1" x14ac:dyDescent="0.2">
      <c r="A786" s="1057"/>
      <c r="B786" s="1060"/>
      <c r="C786" s="1060"/>
      <c r="D786" s="1060"/>
      <c r="E786" s="1060"/>
      <c r="F786" s="1060"/>
      <c r="G786" s="1060"/>
      <c r="H786" s="1060"/>
      <c r="I786" s="1060"/>
      <c r="J786" s="1060"/>
      <c r="K786" s="1060"/>
      <c r="L786" s="1060"/>
      <c r="M786" s="1060"/>
      <c r="N786" s="1060"/>
      <c r="O786" s="1060"/>
      <c r="P786" s="1060"/>
      <c r="Q786" s="1060"/>
      <c r="R786" s="1060"/>
      <c r="S786" s="1061"/>
      <c r="T786" s="280">
        <f>ROUND((L786*I783+1.3*L786*K783+S786*H783),4)</f>
        <v>0</v>
      </c>
      <c r="U786" s="280">
        <f>ROUND((M786*0.9*I783+1.3*M786*0.9*K783+S786*H783),4)</f>
        <v>0</v>
      </c>
      <c r="V786" s="280">
        <f>ROUND((M786*I783+1.3*M786*K783+S786*H783),4)</f>
        <v>0</v>
      </c>
      <c r="W786" s="280">
        <f>ROUND((L786*J783+1.3*L786*N783+S786*G783),4)</f>
        <v>0</v>
      </c>
      <c r="X786" s="280">
        <f>ROUND((M786*0.9*J783+1.3*M786*0.9*N783+S786*G783),4)</f>
        <v>0</v>
      </c>
      <c r="Y786" s="280">
        <f>ROUND((M786*J783+1.3*N783+S786*G783),4)</f>
        <v>0</v>
      </c>
      <c r="Z786" s="281">
        <f>ROUND((P783*T786*F783*O783/1000000),4)</f>
        <v>0</v>
      </c>
      <c r="AA786" s="281">
        <f>ROUND((Q783*U786*F783*O783/1000000),4)</f>
        <v>0</v>
      </c>
      <c r="AB786" s="281">
        <f>ROUND((R783*V786*F783*O783/1000000),4)</f>
        <v>0</v>
      </c>
      <c r="AC786" s="282" t="s">
        <v>205</v>
      </c>
      <c r="AD786" s="283" t="s">
        <v>206</v>
      </c>
      <c r="AE786" s="284">
        <f t="shared" si="14"/>
        <v>3.32E-2</v>
      </c>
      <c r="AF786" s="284">
        <f t="shared" si="15"/>
        <v>1.0761000000000001</v>
      </c>
      <c r="AG786" s="292"/>
      <c r="AH786" s="292"/>
    </row>
    <row r="787" spans="1:34" s="285" customFormat="1" ht="12.95" customHeight="1" x14ac:dyDescent="0.2">
      <c r="A787" s="1057"/>
      <c r="B787" s="1060"/>
      <c r="C787" s="1060"/>
      <c r="D787" s="1060"/>
      <c r="E787" s="1060"/>
      <c r="F787" s="1060"/>
      <c r="G787" s="1060"/>
      <c r="H787" s="1060"/>
      <c r="I787" s="1060"/>
      <c r="J787" s="1060"/>
      <c r="K787" s="1060"/>
      <c r="L787" s="1060"/>
      <c r="M787" s="1060"/>
      <c r="N787" s="1060"/>
      <c r="O787" s="1060"/>
      <c r="P787" s="1060"/>
      <c r="Q787" s="1060"/>
      <c r="R787" s="1060"/>
      <c r="S787" s="1061"/>
      <c r="T787" s="280">
        <f>ROUND((L787*I783+1.3*L787*K783+S787*H783),4)</f>
        <v>0</v>
      </c>
      <c r="U787" s="280">
        <f>ROUND((M787*0.9*I783+1.3*M787*0.9*K783+S787*H783),4)</f>
        <v>0</v>
      </c>
      <c r="V787" s="280">
        <f>ROUND((M787*I783+1.3*M787*K783+S787*H783),4)</f>
        <v>0</v>
      </c>
      <c r="W787" s="280">
        <f>ROUND((L787*J783+1.3*L787*N783+S787*G783),4)</f>
        <v>0</v>
      </c>
      <c r="X787" s="280">
        <f>ROUND((M787*0.9*J783+1.3*M787*0.9*N783+S787*G783),4)</f>
        <v>0</v>
      </c>
      <c r="Y787" s="280">
        <f>ROUND((M787*J783+1.3*M787*N783+S787*G783),4)</f>
        <v>0</v>
      </c>
      <c r="Z787" s="281">
        <f>ROUND((P783*T787*F783*O783/1000000),4)</f>
        <v>0</v>
      </c>
      <c r="AA787" s="281">
        <f>ROUND((Q783*U787*F783*O783/1000000),4)</f>
        <v>0</v>
      </c>
      <c r="AB787" s="281">
        <f>ROUND((R783*V787*F783*O783/1000000),4)</f>
        <v>0</v>
      </c>
      <c r="AC787" s="282" t="s">
        <v>250</v>
      </c>
      <c r="AD787" s="283" t="s">
        <v>208</v>
      </c>
      <c r="AE787" s="284">
        <f t="shared" si="14"/>
        <v>2.3800000000000002E-2</v>
      </c>
      <c r="AF787" s="284">
        <f t="shared" si="15"/>
        <v>0.69890000000000008</v>
      </c>
      <c r="AG787" s="292"/>
      <c r="AH787" s="292"/>
    </row>
    <row r="788" spans="1:34" s="285" customFormat="1" ht="12.95" customHeight="1" x14ac:dyDescent="0.2">
      <c r="A788" s="1062"/>
      <c r="B788" s="1063"/>
      <c r="C788" s="1063"/>
      <c r="D788" s="1063"/>
      <c r="E788" s="1063"/>
      <c r="F788" s="1063"/>
      <c r="G788" s="1063"/>
      <c r="H788" s="1063"/>
      <c r="I788" s="1063"/>
      <c r="J788" s="1063"/>
      <c r="K788" s="1063"/>
      <c r="L788" s="1063"/>
      <c r="M788" s="1063"/>
      <c r="N788" s="1063"/>
      <c r="O788" s="1063"/>
      <c r="P788" s="1063"/>
      <c r="Q788" s="1063"/>
      <c r="R788" s="1063"/>
      <c r="S788" s="1064"/>
      <c r="T788" s="280">
        <f>ROUND((L788*I783+1.3*L788*K783+S788*H783),4)</f>
        <v>0</v>
      </c>
      <c r="U788" s="280">
        <f>ROUND((M788*0.9*I783+1.3*M788*0.9*K783+S788*H783),4)</f>
        <v>0</v>
      </c>
      <c r="V788" s="280">
        <f>ROUND((M788*I783+1.3*M788*K783+S788*H783),4)</f>
        <v>0</v>
      </c>
      <c r="W788" s="280">
        <f>ROUND((L788*J783+1.3*L788*N783+S788*G783),4)</f>
        <v>0</v>
      </c>
      <c r="X788" s="280">
        <f>ROUND((M788*0.9*J783+1.3*M788*0.9*N783+S788*G783),4)</f>
        <v>0</v>
      </c>
      <c r="Y788" s="280">
        <f>ROUND((M788*J783+1.3*M788*N783+S788*G783),4)</f>
        <v>0</v>
      </c>
      <c r="Z788" s="281">
        <f>ROUND((P783*T788*F783*O783/1000000),4)</f>
        <v>0</v>
      </c>
      <c r="AA788" s="281">
        <f>ROUND((Q783*U788*F783*O783/1000000),4)</f>
        <v>0</v>
      </c>
      <c r="AB788" s="281">
        <f>ROUND((R783*V788*F783*O783/1000000),4)</f>
        <v>0</v>
      </c>
      <c r="AC788" s="282" t="s">
        <v>170</v>
      </c>
      <c r="AD788" s="283" t="s">
        <v>162</v>
      </c>
      <c r="AE788" s="284">
        <f t="shared" si="14"/>
        <v>0.12039999999999999</v>
      </c>
      <c r="AF788" s="284">
        <f t="shared" si="15"/>
        <v>3.6221999999999999</v>
      </c>
      <c r="AG788" s="290">
        <f>SUM(AE783:AE788)</f>
        <v>0.33980000000000005</v>
      </c>
      <c r="AH788" s="290">
        <f>SUM(AF783:AF788)</f>
        <v>11.0488</v>
      </c>
    </row>
    <row r="789" spans="1:34" ht="12.95" customHeight="1" x14ac:dyDescent="0.25">
      <c r="A789" s="1065" t="s">
        <v>114</v>
      </c>
      <c r="B789" s="1066"/>
      <c r="C789" s="1066"/>
      <c r="D789" s="1066"/>
      <c r="E789" s="1066"/>
      <c r="F789" s="1066"/>
      <c r="G789" s="1066"/>
      <c r="H789" s="1066"/>
      <c r="I789" s="1066"/>
      <c r="J789" s="1066"/>
      <c r="K789" s="1066"/>
      <c r="L789" s="1066"/>
      <c r="M789" s="1066"/>
      <c r="N789" s="1066"/>
      <c r="O789" s="1066"/>
      <c r="P789" s="1066"/>
      <c r="Q789" s="1066"/>
      <c r="R789" s="1066"/>
      <c r="S789" s="1066"/>
      <c r="T789" s="1066"/>
      <c r="U789" s="1066"/>
      <c r="V789" s="1066"/>
      <c r="W789" s="1066"/>
      <c r="X789" s="1066"/>
      <c r="Y789" s="1066"/>
      <c r="Z789" s="1066"/>
      <c r="AA789" s="1066"/>
      <c r="AB789" s="1066"/>
      <c r="AC789" s="1066"/>
      <c r="AD789" s="1066"/>
      <c r="AE789" s="1066"/>
      <c r="AF789" s="1067"/>
    </row>
    <row r="790" spans="1:34" ht="12.95" customHeight="1" x14ac:dyDescent="0.25">
      <c r="A790" s="45">
        <v>8030</v>
      </c>
      <c r="B790" s="46" t="s">
        <v>218</v>
      </c>
      <c r="C790" s="45">
        <v>4</v>
      </c>
      <c r="D790" s="45" t="s">
        <v>199</v>
      </c>
      <c r="E790" s="45">
        <v>1</v>
      </c>
      <c r="F790" s="45">
        <v>1</v>
      </c>
      <c r="G790" s="45">
        <v>6</v>
      </c>
      <c r="H790" s="45">
        <v>60</v>
      </c>
      <c r="I790" s="45">
        <f>(8-1-0.75*2)*60*F790-K790-8*0.12*60</f>
        <v>57.900000000000006</v>
      </c>
      <c r="J790" s="45">
        <v>14</v>
      </c>
      <c r="K790" s="45">
        <f>(8-1-0.75*2)*0.65*60*F790</f>
        <v>214.5</v>
      </c>
      <c r="L790" s="45">
        <v>2.4700000000000002</v>
      </c>
      <c r="M790" s="45">
        <v>2.4700000000000002</v>
      </c>
      <c r="N790" s="45">
        <v>10</v>
      </c>
      <c r="O790" s="45">
        <f>E790/F790</f>
        <v>1</v>
      </c>
      <c r="P790" s="45">
        <v>180</v>
      </c>
      <c r="Q790" s="45">
        <v>30</v>
      </c>
      <c r="R790" s="47">
        <v>0</v>
      </c>
      <c r="S790" s="45">
        <v>0.48</v>
      </c>
      <c r="T790" s="48">
        <f>ROUND((L790*I790+1.3*L790*K790+S790*H790),4)</f>
        <v>860.57249999999999</v>
      </c>
      <c r="U790" s="48">
        <f>ROUND((M790*I790+1.3*M790*K790+S790*H790),4)</f>
        <v>860.57249999999999</v>
      </c>
      <c r="V790" s="48">
        <f>ROUND((M790*I790+1.3*M790*K790+S790*H790),4)</f>
        <v>860.57249999999999</v>
      </c>
      <c r="W790" s="48">
        <f>ROUND((L790*J790+1.3*L790*N790+S790*G790),4)</f>
        <v>69.569999999999993</v>
      </c>
      <c r="X790" s="48">
        <f>ROUND((M790*J790+1.3*M790*N790+S790*G790),4)</f>
        <v>69.569999999999993</v>
      </c>
      <c r="Y790" s="48">
        <f>ROUND((M790*J790+1.3*M790*N790+S790*G790),4)</f>
        <v>69.569999999999993</v>
      </c>
      <c r="Z790" s="49">
        <f>ROUND((P790*T790*F790*O790/1000000),4)</f>
        <v>0.15490000000000001</v>
      </c>
      <c r="AA790" s="49">
        <f>ROUND((Q790*U790*F790*O790/1000000),4)</f>
        <v>2.58E-2</v>
      </c>
      <c r="AB790" s="49">
        <f>ROUND((R790*V790*F790*O790/1000000),4)</f>
        <v>0</v>
      </c>
      <c r="AC790" s="50" t="s">
        <v>200</v>
      </c>
      <c r="AD790" s="51" t="s">
        <v>153</v>
      </c>
      <c r="AE790" s="44">
        <f>ROUND((((X790*E790)/1800)*0.8),4)</f>
        <v>3.09E-2</v>
      </c>
      <c r="AF790" s="44">
        <f>ROUND(((Z790+AA790+AB790)*0.8),4)</f>
        <v>0.14460000000000001</v>
      </c>
    </row>
    <row r="791" spans="1:34" ht="12.95" customHeight="1" x14ac:dyDescent="0.25">
      <c r="A791" s="63"/>
      <c r="B791" s="53" t="s">
        <v>219</v>
      </c>
      <c r="C791" s="52"/>
      <c r="D791" s="52"/>
      <c r="E791" s="52"/>
      <c r="F791" s="63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68"/>
      <c r="T791" s="54"/>
      <c r="U791" s="54"/>
      <c r="V791" s="54"/>
      <c r="W791" s="54"/>
      <c r="X791" s="54"/>
      <c r="Y791" s="54"/>
      <c r="Z791" s="54"/>
      <c r="AA791" s="54"/>
      <c r="AB791" s="54"/>
      <c r="AC791" s="50" t="s">
        <v>201</v>
      </c>
      <c r="AD791" s="51" t="s">
        <v>202</v>
      </c>
      <c r="AE791" s="44">
        <f>ROUND((((X790*E790)/1800)*0.13),4)</f>
        <v>5.0000000000000001E-3</v>
      </c>
      <c r="AF791" s="44">
        <f>ROUND(((Z790+AA790+AB790)*0.13),4)</f>
        <v>2.35E-2</v>
      </c>
    </row>
    <row r="792" spans="1:34" ht="12.95" customHeight="1" x14ac:dyDescent="0.25">
      <c r="A792" s="63"/>
      <c r="B792" s="53"/>
      <c r="C792" s="55"/>
      <c r="D792" s="55"/>
      <c r="E792" s="52"/>
      <c r="F792" s="63"/>
      <c r="G792" s="52"/>
      <c r="H792" s="52"/>
      <c r="I792" s="52"/>
      <c r="J792" s="52"/>
      <c r="K792" s="52"/>
      <c r="L792" s="52">
        <v>0.19</v>
      </c>
      <c r="M792" s="52">
        <v>0.23</v>
      </c>
      <c r="N792" s="52"/>
      <c r="O792" s="52"/>
      <c r="P792" s="52"/>
      <c r="Q792" s="52"/>
      <c r="R792" s="52"/>
      <c r="S792" s="69">
        <v>9.7000000000000003E-2</v>
      </c>
      <c r="T792" s="48">
        <f>ROUND((L792*I790+1.3*L792*K790+S792*H790),4)</f>
        <v>69.802499999999995</v>
      </c>
      <c r="U792" s="48">
        <f>ROUND((M792*0.9*I790+1.3*M792*0.9*K790+S792*H790),4)</f>
        <v>75.527299999999997</v>
      </c>
      <c r="V792" s="48">
        <f>ROUND((M792*I790+1.3*M792*K790+S792*H790),4)</f>
        <v>83.272499999999994</v>
      </c>
      <c r="W792" s="48">
        <f>ROUND((L792*J790+1.3*L792*N790+S792*G790),4)</f>
        <v>5.7119999999999997</v>
      </c>
      <c r="X792" s="48">
        <f>ROUND((M792*0.9*J790+1.3*M792*0.9*N790+S792*G790),4)</f>
        <v>6.1710000000000003</v>
      </c>
      <c r="Y792" s="48">
        <f>ROUND((M792*J790+1.3*M792*N790+S792*G790),4)</f>
        <v>6.7919999999999998</v>
      </c>
      <c r="Z792" s="49">
        <f>ROUND((P790*T792*F790*O790/1000000),4)</f>
        <v>1.26E-2</v>
      </c>
      <c r="AA792" s="49">
        <f>ROUND((Q790*U792*F790*O790/1000000),4)</f>
        <v>2.3E-3</v>
      </c>
      <c r="AB792" s="49">
        <f>ROUND((R790*V792*F790*O790/1000000),4)</f>
        <v>0</v>
      </c>
      <c r="AC792" s="50" t="s">
        <v>203</v>
      </c>
      <c r="AD792" s="51" t="s">
        <v>204</v>
      </c>
      <c r="AE792" s="44">
        <f>ROUND((((X792*E790)/1800)),4)</f>
        <v>3.3999999999999998E-3</v>
      </c>
      <c r="AF792" s="44">
        <f>ROUND(((Z792+AA792+AB792)),5)</f>
        <v>1.49E-2</v>
      </c>
    </row>
    <row r="793" spans="1:34" ht="12.95" customHeight="1" x14ac:dyDescent="0.25">
      <c r="A793" s="63"/>
      <c r="B793" s="98"/>
      <c r="C793" s="52"/>
      <c r="D793" s="52"/>
      <c r="E793" s="52"/>
      <c r="F793" s="63"/>
      <c r="G793" s="52"/>
      <c r="H793" s="52"/>
      <c r="I793" s="52"/>
      <c r="J793" s="52"/>
      <c r="K793" s="52"/>
      <c r="L793" s="52">
        <v>0.43</v>
      </c>
      <c r="M793" s="52">
        <v>0.51</v>
      </c>
      <c r="N793" s="52"/>
      <c r="O793" s="52"/>
      <c r="P793" s="52"/>
      <c r="Q793" s="52"/>
      <c r="R793" s="52"/>
      <c r="S793" s="69">
        <v>0.3</v>
      </c>
      <c r="T793" s="48">
        <f>ROUND((L793*I790+1.3*L793*K790+S793*H790),4)</f>
        <v>162.80250000000001</v>
      </c>
      <c r="U793" s="48">
        <f>ROUND((M793*0.9*I790+1.3*M793*0.9*K790+S793*H790),4)</f>
        <v>172.56829999999999</v>
      </c>
      <c r="V793" s="48">
        <f>ROUND((M793*I790+1.3*M793*K790+S793*H790),4)</f>
        <v>189.74250000000001</v>
      </c>
      <c r="W793" s="48">
        <f>ROUND((L793*J790+1.3*L793*N790+S793*G790),4)</f>
        <v>13.41</v>
      </c>
      <c r="X793" s="48">
        <f>ROUND((M793*0.9*J790+1.3*M793*0.9*N790+S793*G790),4)</f>
        <v>14.193</v>
      </c>
      <c r="Y793" s="48">
        <f>ROUND((M793*J790+1.3*N790+S793*G790),4)</f>
        <v>21.94</v>
      </c>
      <c r="Z793" s="49">
        <f>ROUND((P790*T793*F790*O790/1000000),4)</f>
        <v>2.93E-2</v>
      </c>
      <c r="AA793" s="49">
        <f>ROUND((Q790*U793*F790*O790/1000000),4)</f>
        <v>5.1999999999999998E-3</v>
      </c>
      <c r="AB793" s="49">
        <f>ROUND((R790*V793*F790*O790/1000000),4)</f>
        <v>0</v>
      </c>
      <c r="AC793" s="50" t="s">
        <v>205</v>
      </c>
      <c r="AD793" s="51" t="s">
        <v>206</v>
      </c>
      <c r="AE793" s="44">
        <f>ROUND((((X793*E790)/1800)),4)</f>
        <v>7.9000000000000008E-3</v>
      </c>
      <c r="AF793" s="44">
        <f>ROUND(((Z793+AA793+AB793)),4)</f>
        <v>3.4500000000000003E-2</v>
      </c>
    </row>
    <row r="794" spans="1:34" ht="12.95" customHeight="1" x14ac:dyDescent="0.25">
      <c r="A794" s="63"/>
      <c r="B794" s="53"/>
      <c r="C794" s="52"/>
      <c r="D794" s="52"/>
      <c r="E794" s="52"/>
      <c r="F794" s="63"/>
      <c r="G794" s="52"/>
      <c r="H794" s="52"/>
      <c r="I794" s="52"/>
      <c r="J794" s="52"/>
      <c r="K794" s="52"/>
      <c r="L794" s="52">
        <v>0.27</v>
      </c>
      <c r="M794" s="52">
        <v>0.41</v>
      </c>
      <c r="N794" s="52"/>
      <c r="O794" s="52"/>
      <c r="P794" s="52"/>
      <c r="Q794" s="52"/>
      <c r="R794" s="52"/>
      <c r="S794" s="69">
        <v>0.06</v>
      </c>
      <c r="T794" s="48">
        <f>ROUND((L794*I790+1.3*L794*K790+S794*H790),4)</f>
        <v>94.522499999999994</v>
      </c>
      <c r="U794" s="48">
        <f>ROUND((M794*0.9*I790+1.3*M794*0.9*K790+S794*H790),4)</f>
        <v>127.8608</v>
      </c>
      <c r="V794" s="48">
        <f>ROUND((M794*I790+1.3*M794*K790+S794*H790),4)</f>
        <v>141.66749999999999</v>
      </c>
      <c r="W794" s="48">
        <f>ROUND((L794*J790+1.3*L794*N790+S794*G790),4)</f>
        <v>7.65</v>
      </c>
      <c r="X794" s="48">
        <f>ROUND((M794*0.9*J790+1.3*M794*0.9*N790+S794*G790),4)</f>
        <v>10.323</v>
      </c>
      <c r="Y794" s="48">
        <f>ROUND((M794*J790+1.3*M794*N790+S794*G790),4)</f>
        <v>11.43</v>
      </c>
      <c r="Z794" s="49">
        <f>ROUND((P790*T794*F790*O790/1000000),4)</f>
        <v>1.7000000000000001E-2</v>
      </c>
      <c r="AA794" s="49">
        <f>ROUND((Q790*U794*F790*O790/1000000),4)</f>
        <v>3.8E-3</v>
      </c>
      <c r="AB794" s="49">
        <f>ROUND((R790*V794*F790*O790/1000000),4)</f>
        <v>0</v>
      </c>
      <c r="AC794" s="50" t="s">
        <v>250</v>
      </c>
      <c r="AD794" s="51" t="s">
        <v>208</v>
      </c>
      <c r="AE794" s="44">
        <f>ROUND((((X794*E790)/1800)),4)</f>
        <v>5.7000000000000002E-3</v>
      </c>
      <c r="AF794" s="44">
        <f>ROUND(((Z794+AA794+AB794)),4)</f>
        <v>2.0799999999999999E-2</v>
      </c>
    </row>
    <row r="795" spans="1:34" ht="12.95" customHeight="1" x14ac:dyDescent="0.25">
      <c r="A795" s="63"/>
      <c r="B795" s="53"/>
      <c r="C795" s="56"/>
      <c r="D795" s="56"/>
      <c r="E795" s="56"/>
      <c r="F795" s="66"/>
      <c r="G795" s="56"/>
      <c r="H795" s="56"/>
      <c r="I795" s="56"/>
      <c r="J795" s="56"/>
      <c r="K795" s="56"/>
      <c r="L795" s="56">
        <v>1.29</v>
      </c>
      <c r="M795" s="56">
        <v>1.57</v>
      </c>
      <c r="N795" s="56"/>
      <c r="O795" s="56"/>
      <c r="P795" s="56"/>
      <c r="Q795" s="56"/>
      <c r="R795" s="56"/>
      <c r="S795" s="69">
        <v>2.4</v>
      </c>
      <c r="T795" s="70">
        <f>ROUND((L795*I790+1.3*L795*K790+S795*H790),4)</f>
        <v>578.40750000000003</v>
      </c>
      <c r="U795" s="70">
        <f>ROUND((M795*0.9*I790+1.3*M795*0.9*K790+S795*H790),4)</f>
        <v>619.82780000000002</v>
      </c>
      <c r="V795" s="70">
        <f>ROUND((M795*I790+1.3*M795*K790+S795*H790),4)</f>
        <v>672.69749999999999</v>
      </c>
      <c r="W795" s="70">
        <f>ROUND((L795*J790+1.3*L795*N790+S795*G790),4)</f>
        <v>49.23</v>
      </c>
      <c r="X795" s="70">
        <f>ROUND((M795*0.9*J790+1.3*M795*0.9*N790+S795*G790),4)</f>
        <v>52.551000000000002</v>
      </c>
      <c r="Y795" s="70">
        <f>ROUND((M795*J790+1.3*M795*N790+S795*G790),4)</f>
        <v>56.79</v>
      </c>
      <c r="Z795" s="71">
        <f>ROUND((P790*T795*F790*O790/1000000),4)</f>
        <v>0.1041</v>
      </c>
      <c r="AA795" s="71">
        <f>ROUND((Q790*U795*F790*O790/1000000),4)</f>
        <v>1.8599999999999998E-2</v>
      </c>
      <c r="AB795" s="71">
        <f>ROUND((R790*V795*F790*O790/1000000),4)</f>
        <v>0</v>
      </c>
      <c r="AC795" s="50" t="s">
        <v>170</v>
      </c>
      <c r="AD795" s="51" t="s">
        <v>162</v>
      </c>
      <c r="AE795" s="44">
        <f>ROUND((((X795*E790)/1800)),4)</f>
        <v>2.92E-2</v>
      </c>
      <c r="AF795" s="44">
        <f>ROUND(((Z795+AA795+AB795)),4)</f>
        <v>0.1227</v>
      </c>
    </row>
    <row r="796" spans="1:34" ht="12.95" customHeight="1" x14ac:dyDescent="0.25">
      <c r="A796" s="63"/>
      <c r="B796" s="46" t="s">
        <v>211</v>
      </c>
      <c r="C796" s="46">
        <v>5</v>
      </c>
      <c r="D796" s="45" t="s">
        <v>209</v>
      </c>
      <c r="E796" s="45">
        <v>1</v>
      </c>
      <c r="F796" s="45">
        <v>3</v>
      </c>
      <c r="G796" s="45">
        <v>6</v>
      </c>
      <c r="H796" s="45">
        <v>60</v>
      </c>
      <c r="I796" s="45">
        <f>(8-1-0.75*2)*60*F796-K796-8*0.12*60</f>
        <v>288.89999999999998</v>
      </c>
      <c r="J796" s="45">
        <v>14</v>
      </c>
      <c r="K796" s="45">
        <f>(8-1-0.75*2)*0.65*60*F796</f>
        <v>643.5</v>
      </c>
      <c r="L796" s="48">
        <v>4.01</v>
      </c>
      <c r="M796" s="48">
        <v>4.01</v>
      </c>
      <c r="N796" s="45">
        <v>10</v>
      </c>
      <c r="O796" s="45">
        <f>E796/F796</f>
        <v>0.33333333333333331</v>
      </c>
      <c r="P796" s="45">
        <v>180</v>
      </c>
      <c r="Q796" s="45">
        <v>90</v>
      </c>
      <c r="R796" s="47">
        <v>60</v>
      </c>
      <c r="S796" s="47">
        <v>0.78</v>
      </c>
      <c r="T796" s="48">
        <f>ROUND((L796*I796+1.3*L796*K796+S796*H796),4)</f>
        <v>4559.8545000000004</v>
      </c>
      <c r="U796" s="48">
        <f>ROUND((M796*I796+1.3*M796*K796+S796*H796),4)</f>
        <v>4559.8545000000004</v>
      </c>
      <c r="V796" s="48">
        <f>ROUND((M796*I796+1.3*M796*K796+S796*H796),4)</f>
        <v>4559.8545000000004</v>
      </c>
      <c r="W796" s="48">
        <f>ROUND((L796*J796+1.3*L796*N796+S796*G796),4)</f>
        <v>112.95</v>
      </c>
      <c r="X796" s="48">
        <f>ROUND((M796*J796+1.3*M796*N796+S796*G796),4)</f>
        <v>112.95</v>
      </c>
      <c r="Y796" s="48">
        <f>ROUND((M796*J796+1.3*M796*N796+S796*G796),4)</f>
        <v>112.95</v>
      </c>
      <c r="Z796" s="49">
        <f>ROUND((P796*T796*F796*O796/1000000),4)</f>
        <v>0.82079999999999997</v>
      </c>
      <c r="AA796" s="49">
        <f>ROUND((Q796*U796*F796*O796/1000000),4)</f>
        <v>0.41039999999999999</v>
      </c>
      <c r="AB796" s="49">
        <f>ROUND((R796*V796*F796*O796/1000000),4)</f>
        <v>0.27360000000000001</v>
      </c>
      <c r="AC796" s="50" t="s">
        <v>200</v>
      </c>
      <c r="AD796" s="51" t="s">
        <v>153</v>
      </c>
      <c r="AE796" s="44">
        <f>ROUND((((X796*E796)/1800)*0.8),4)</f>
        <v>5.0200000000000002E-2</v>
      </c>
      <c r="AF796" s="44">
        <f>ROUND(((Z796+AA796+AB796)*0.8),4)</f>
        <v>1.2038</v>
      </c>
    </row>
    <row r="797" spans="1:34" ht="12.95" customHeight="1" x14ac:dyDescent="0.25">
      <c r="A797" s="63"/>
      <c r="B797" s="73" t="s">
        <v>212</v>
      </c>
      <c r="C797" s="53"/>
      <c r="D797" s="52"/>
      <c r="E797" s="52"/>
      <c r="F797" s="52"/>
      <c r="G797" s="52"/>
      <c r="H797" s="52"/>
      <c r="I797" s="52"/>
      <c r="J797" s="52"/>
      <c r="K797" s="52"/>
      <c r="L797" s="56"/>
      <c r="M797" s="56"/>
      <c r="N797" s="52"/>
      <c r="O797" s="52"/>
      <c r="P797" s="63"/>
      <c r="Q797" s="63"/>
      <c r="R797" s="63"/>
      <c r="S797" s="57"/>
      <c r="T797" s="54"/>
      <c r="U797" s="54"/>
      <c r="V797" s="54"/>
      <c r="W797" s="54"/>
      <c r="X797" s="54"/>
      <c r="Y797" s="54"/>
      <c r="Z797" s="54"/>
      <c r="AA797" s="54"/>
      <c r="AB797" s="54"/>
      <c r="AC797" s="50" t="s">
        <v>201</v>
      </c>
      <c r="AD797" s="51" t="s">
        <v>202</v>
      </c>
      <c r="AE797" s="44">
        <f>ROUND((((X796*E796)/1800)*0.13),4)</f>
        <v>8.2000000000000007E-3</v>
      </c>
      <c r="AF797" s="44">
        <f>ROUND(((Z796+AA796+AB796)*0.13),4)</f>
        <v>0.1956</v>
      </c>
    </row>
    <row r="798" spans="1:34" ht="12.95" customHeight="1" x14ac:dyDescent="0.25">
      <c r="A798" s="63"/>
      <c r="B798" s="64"/>
      <c r="C798" s="58"/>
      <c r="D798" s="55"/>
      <c r="E798" s="52"/>
      <c r="F798" s="52"/>
      <c r="G798" s="52"/>
      <c r="H798" s="52"/>
      <c r="I798" s="52"/>
      <c r="J798" s="52"/>
      <c r="K798" s="52"/>
      <c r="L798" s="59">
        <v>0.31</v>
      </c>
      <c r="M798" s="59">
        <v>0.38</v>
      </c>
      <c r="N798" s="52"/>
      <c r="O798" s="52"/>
      <c r="P798" s="63"/>
      <c r="Q798" s="63"/>
      <c r="R798" s="63"/>
      <c r="S798" s="60">
        <v>0.16</v>
      </c>
      <c r="T798" s="48">
        <f>ROUND((L798*I796+1.3*L798*K796+S798*H796),4)</f>
        <v>358.48950000000002</v>
      </c>
      <c r="U798" s="48">
        <f>ROUND((M798*0.9*I796+1.3*M798*0.9*K796+S798*H796),4)</f>
        <v>394.50389999999999</v>
      </c>
      <c r="V798" s="48">
        <f>ROUND((M798*I796+1.3*M798*K796+S798*H796),4)</f>
        <v>437.27100000000002</v>
      </c>
      <c r="W798" s="48">
        <f>ROUND((L798*J796+1.3*L798*N796+S798*G796),4)</f>
        <v>9.33</v>
      </c>
      <c r="X798" s="48">
        <f>ROUND((M798*0.9*J796+1.3*M798*0.9*N796+S798*G796),4)</f>
        <v>10.194000000000001</v>
      </c>
      <c r="Y798" s="48">
        <f>ROUND((M798*J796+1.3*M798*N796+S798*G796),4)</f>
        <v>11.22</v>
      </c>
      <c r="Z798" s="49">
        <f>ROUND((P796*T798*F796*O796/1000000),4)</f>
        <v>6.4500000000000002E-2</v>
      </c>
      <c r="AA798" s="49">
        <f>ROUND((Q796*U798*F796*O796/1000000),4)</f>
        <v>3.5499999999999997E-2</v>
      </c>
      <c r="AB798" s="49">
        <f>ROUND((R796*V798*F796*O796/1000000),4)</f>
        <v>2.6200000000000001E-2</v>
      </c>
      <c r="AC798" s="50" t="s">
        <v>203</v>
      </c>
      <c r="AD798" s="51" t="s">
        <v>204</v>
      </c>
      <c r="AE798" s="44">
        <f>ROUND((((X798*E796)/1800)),4)</f>
        <v>5.7000000000000002E-3</v>
      </c>
      <c r="AF798" s="44">
        <f>ROUND(((Z798+AA798+AB798)),5)</f>
        <v>0.12620000000000001</v>
      </c>
    </row>
    <row r="799" spans="1:34" ht="12.95" customHeight="1" x14ac:dyDescent="0.25">
      <c r="A799" s="63"/>
      <c r="B799" s="64"/>
      <c r="C799" s="53"/>
      <c r="D799" s="52"/>
      <c r="E799" s="52"/>
      <c r="F799" s="52"/>
      <c r="G799" s="52"/>
      <c r="H799" s="52"/>
      <c r="I799" s="52"/>
      <c r="J799" s="52"/>
      <c r="K799" s="52"/>
      <c r="L799" s="59">
        <v>0.71</v>
      </c>
      <c r="M799" s="59">
        <v>0.85</v>
      </c>
      <c r="N799" s="52"/>
      <c r="O799" s="52"/>
      <c r="P799" s="63"/>
      <c r="Q799" s="63"/>
      <c r="R799" s="63"/>
      <c r="S799" s="61">
        <v>0.49</v>
      </c>
      <c r="T799" s="48">
        <f>ROUND((L799*I796+1.3*L799*K796+S799*H796),4)</f>
        <v>828.46950000000004</v>
      </c>
      <c r="U799" s="48">
        <f>ROUND((M799*0.9*I796+1.3*M799*0.9*K796+S799*H796),4)</f>
        <v>890.36929999999995</v>
      </c>
      <c r="V799" s="48">
        <f>ROUND((M799*I796+1.3*M799*K796+S799*H796),4)</f>
        <v>986.03250000000003</v>
      </c>
      <c r="W799" s="48">
        <f>ROUND((L799*J796+1.3*L799*N796+S799*G796),4)</f>
        <v>22.11</v>
      </c>
      <c r="X799" s="48">
        <f>ROUND((M799*0.9*J796+1.3*M799*0.9*N796+S799*G796),4)</f>
        <v>23.594999999999999</v>
      </c>
      <c r="Y799" s="48">
        <f>ROUND((M799*J796+1.3*N796+S799*G796),4)</f>
        <v>27.84</v>
      </c>
      <c r="Z799" s="49">
        <f>ROUND((P796*T799*F796*O796/1000000),4)</f>
        <v>0.14910000000000001</v>
      </c>
      <c r="AA799" s="49">
        <f>ROUND((Q796*U799*F796*O796/1000000),4)</f>
        <v>8.0100000000000005E-2</v>
      </c>
      <c r="AB799" s="49">
        <f>ROUND((R796*V799*F796*O796/1000000),4)</f>
        <v>5.9200000000000003E-2</v>
      </c>
      <c r="AC799" s="50" t="s">
        <v>205</v>
      </c>
      <c r="AD799" s="51" t="s">
        <v>206</v>
      </c>
      <c r="AE799" s="44">
        <f>ROUND((((X799*E796)/1800)),4)</f>
        <v>1.3100000000000001E-2</v>
      </c>
      <c r="AF799" s="44">
        <f>ROUND(((Z799+AA799+AB799)),4)</f>
        <v>0.28839999999999999</v>
      </c>
    </row>
    <row r="800" spans="1:34" ht="12.95" customHeight="1" x14ac:dyDescent="0.25">
      <c r="A800" s="63"/>
      <c r="B800" s="64"/>
      <c r="C800" s="53"/>
      <c r="D800" s="52"/>
      <c r="E800" s="52"/>
      <c r="F800" s="52"/>
      <c r="G800" s="52"/>
      <c r="H800" s="52"/>
      <c r="I800" s="52"/>
      <c r="J800" s="52"/>
      <c r="K800" s="52"/>
      <c r="L800" s="59">
        <v>0.45</v>
      </c>
      <c r="M800" s="59">
        <v>0.67</v>
      </c>
      <c r="N800" s="52"/>
      <c r="O800" s="52"/>
      <c r="P800" s="63"/>
      <c r="Q800" s="63"/>
      <c r="R800" s="63"/>
      <c r="S800" s="61">
        <v>0.1</v>
      </c>
      <c r="T800" s="48">
        <f>ROUND((L800*I796+1.3*L800*K796+S800*H796),4)</f>
        <v>512.45249999999999</v>
      </c>
      <c r="U800" s="48">
        <f>ROUND((M800*0.9*I796+1.3*M800*0.9*K796+S800*H796),4)</f>
        <v>684.64639999999997</v>
      </c>
      <c r="V800" s="48">
        <f>ROUND((M800*I796+1.3*M800*K796+S800*H796),4)</f>
        <v>760.05150000000003</v>
      </c>
      <c r="W800" s="48">
        <f>ROUND((L800*J796+1.3*L800*N796+S800*G796),4)</f>
        <v>12.75</v>
      </c>
      <c r="X800" s="48">
        <f>ROUND((M800*0.9*J796+1.3*M800*0.9*N796+S800*G796),4)</f>
        <v>16.881</v>
      </c>
      <c r="Y800" s="48">
        <f>ROUND((M800*J796+1.3*M800*N796+S800*G796),4)</f>
        <v>18.690000000000001</v>
      </c>
      <c r="Z800" s="49">
        <f>ROUND((P796*T800*F796*O796/1000000),4)</f>
        <v>9.2200000000000004E-2</v>
      </c>
      <c r="AA800" s="49">
        <f>ROUND((Q796*U800*F796*O796/1000000),4)</f>
        <v>6.1600000000000002E-2</v>
      </c>
      <c r="AB800" s="49">
        <f>ROUND((R796*V800*F796*O796/1000000),4)</f>
        <v>4.5600000000000002E-2</v>
      </c>
      <c r="AC800" s="50" t="s">
        <v>250</v>
      </c>
      <c r="AD800" s="51" t="s">
        <v>208</v>
      </c>
      <c r="AE800" s="44">
        <f>ROUND((((X800*E796)/1800)),4)</f>
        <v>9.4000000000000004E-3</v>
      </c>
      <c r="AF800" s="44">
        <f>ROUND(((Z800+AA800+AB800)),4)</f>
        <v>0.19939999999999999</v>
      </c>
    </row>
    <row r="801" spans="1:32" ht="12.95" customHeight="1" x14ac:dyDescent="0.25">
      <c r="A801" s="63"/>
      <c r="B801" s="72"/>
      <c r="C801" s="62"/>
      <c r="D801" s="56"/>
      <c r="E801" s="56"/>
      <c r="F801" s="56"/>
      <c r="G801" s="56"/>
      <c r="H801" s="56"/>
      <c r="I801" s="56"/>
      <c r="J801" s="56"/>
      <c r="K801" s="56"/>
      <c r="L801" s="59">
        <v>2.09</v>
      </c>
      <c r="M801" s="59">
        <v>2.5499999999999998</v>
      </c>
      <c r="N801" s="56"/>
      <c r="O801" s="56"/>
      <c r="P801" s="66"/>
      <c r="Q801" s="66"/>
      <c r="R801" s="66"/>
      <c r="S801" s="61">
        <v>3.91</v>
      </c>
      <c r="T801" s="48">
        <f>ROUND((L801*I796+1.3*L801*K796+S801*H796),4)</f>
        <v>2586.7905000000001</v>
      </c>
      <c r="U801" s="48">
        <f>ROUND((M801*0.9*I796+1.3*M801*0.9*K796+S801*H796),4)</f>
        <v>2817.5077999999999</v>
      </c>
      <c r="V801" s="48">
        <f>ROUND((M801*I796+1.3*M801*K796+S801*H796),4)</f>
        <v>3104.4974999999999</v>
      </c>
      <c r="W801" s="48">
        <f>ROUND((L801*J796+1.3*L801*N796+S801*G796),4)</f>
        <v>79.89</v>
      </c>
      <c r="X801" s="48">
        <f>ROUND((M801*0.9*J796+1.3*M801*0.9*N796+S801*G796),4)</f>
        <v>85.424999999999997</v>
      </c>
      <c r="Y801" s="48">
        <f>ROUND((M801*J796+1.3*M801*N796+S801*G796),4)</f>
        <v>92.31</v>
      </c>
      <c r="Z801" s="49">
        <f>ROUND((P796*T801*F796*O796/1000000),4)</f>
        <v>0.46560000000000001</v>
      </c>
      <c r="AA801" s="49">
        <f>ROUND((Q796*U801*F796*O796/1000000),4)</f>
        <v>0.25359999999999999</v>
      </c>
      <c r="AB801" s="49">
        <f>ROUND((R796*V801*F796*O796/1000000),4)</f>
        <v>0.18629999999999999</v>
      </c>
      <c r="AC801" s="50" t="s">
        <v>170</v>
      </c>
      <c r="AD801" s="51" t="s">
        <v>162</v>
      </c>
      <c r="AE801" s="44">
        <f>ROUND((((X801*E796)/1800)),4)</f>
        <v>4.7500000000000001E-2</v>
      </c>
      <c r="AF801" s="44">
        <f>ROUND(((Z801+AA801+AB801)),4)</f>
        <v>0.90549999999999997</v>
      </c>
    </row>
    <row r="802" spans="1:32" ht="12.95" customHeight="1" x14ac:dyDescent="0.25">
      <c r="A802" s="52"/>
      <c r="B802" s="46" t="s">
        <v>211</v>
      </c>
      <c r="C802" s="46">
        <v>6</v>
      </c>
      <c r="D802" s="45" t="s">
        <v>210</v>
      </c>
      <c r="E802" s="45">
        <v>1</v>
      </c>
      <c r="F802" s="45">
        <v>3</v>
      </c>
      <c r="G802" s="45">
        <v>6</v>
      </c>
      <c r="H802" s="45">
        <v>60</v>
      </c>
      <c r="I802" s="45">
        <f>(8-1-0.75*2)*60*F802-K802-8*0.12*60</f>
        <v>288.89999999999998</v>
      </c>
      <c r="J802" s="45">
        <v>14</v>
      </c>
      <c r="K802" s="45">
        <f>(8-1-0.75*2)*0.65*60*F802</f>
        <v>643.5</v>
      </c>
      <c r="L802" s="48">
        <v>6.47</v>
      </c>
      <c r="M802" s="48">
        <v>6.47</v>
      </c>
      <c r="N802" s="45">
        <v>10</v>
      </c>
      <c r="O802" s="45">
        <f>E802/F802</f>
        <v>0.33333333333333331</v>
      </c>
      <c r="P802" s="45">
        <v>180</v>
      </c>
      <c r="Q802" s="45">
        <v>90</v>
      </c>
      <c r="R802" s="47">
        <v>60</v>
      </c>
      <c r="S802" s="47">
        <v>1.27</v>
      </c>
      <c r="T802" s="48">
        <f>ROUND((L802*I802+1.3*L802*K802+S802*H802),4)</f>
        <v>7357.8615</v>
      </c>
      <c r="U802" s="48">
        <f>ROUND((M802*I802+1.3*M802*K802+S802*H802),4)</f>
        <v>7357.8615</v>
      </c>
      <c r="V802" s="48">
        <f>ROUND((M802*I802+1.3*M802*K802+S802*H802),4)</f>
        <v>7357.8615</v>
      </c>
      <c r="W802" s="48">
        <f>ROUND((L802*J802+1.3*L802*N802+S802*G802),4)</f>
        <v>182.31</v>
      </c>
      <c r="X802" s="48">
        <f>ROUND((M802*J802+1.3*M802*N802+S802*G802),4)</f>
        <v>182.31</v>
      </c>
      <c r="Y802" s="48">
        <f>ROUND((M802*J802+1.3*M802*N802+S802*G802),4)</f>
        <v>182.31</v>
      </c>
      <c r="Z802" s="49">
        <f>ROUND((P802*T802*F802*O802/1000000),4)</f>
        <v>1.3244</v>
      </c>
      <c r="AA802" s="49">
        <f>ROUND((Q802*U802*F802*O802/1000000),4)</f>
        <v>0.66220000000000001</v>
      </c>
      <c r="AB802" s="49">
        <f>ROUND((R802*V802*F802*O802/1000000),4)</f>
        <v>0.4415</v>
      </c>
      <c r="AC802" s="50" t="s">
        <v>200</v>
      </c>
      <c r="AD802" s="51" t="s">
        <v>153</v>
      </c>
      <c r="AE802" s="44">
        <f>ROUND((((X802*E802)/1800)*0.8),4)</f>
        <v>8.1000000000000003E-2</v>
      </c>
      <c r="AF802" s="44">
        <f>ROUND(((Z802+AA802+AB802)*0.8),4)</f>
        <v>1.9424999999999999</v>
      </c>
    </row>
    <row r="803" spans="1:32" ht="12.95" customHeight="1" x14ac:dyDescent="0.25">
      <c r="A803" s="52"/>
      <c r="B803" s="53" t="s">
        <v>213</v>
      </c>
      <c r="C803" s="52"/>
      <c r="D803" s="52"/>
      <c r="E803" s="63"/>
      <c r="F803" s="52"/>
      <c r="G803" s="52"/>
      <c r="H803" s="52"/>
      <c r="I803" s="52"/>
      <c r="J803" s="52"/>
      <c r="K803" s="52"/>
      <c r="L803" s="56"/>
      <c r="M803" s="56"/>
      <c r="N803" s="52"/>
      <c r="O803" s="52"/>
      <c r="P803" s="63"/>
      <c r="Q803" s="63"/>
      <c r="R803" s="63"/>
      <c r="S803" s="57"/>
      <c r="T803" s="54"/>
      <c r="U803" s="54"/>
      <c r="V803" s="54"/>
      <c r="W803" s="54"/>
      <c r="X803" s="54"/>
      <c r="Y803" s="54"/>
      <c r="Z803" s="54"/>
      <c r="AA803" s="54"/>
      <c r="AB803" s="54"/>
      <c r="AC803" s="50" t="s">
        <v>201</v>
      </c>
      <c r="AD803" s="51" t="s">
        <v>202</v>
      </c>
      <c r="AE803" s="44">
        <f>ROUND((((X802*E802)/1800)*0.13),4)</f>
        <v>1.32E-2</v>
      </c>
      <c r="AF803" s="44">
        <f>ROUND(((Z802+AA802+AB802)*0.13),4)</f>
        <v>0.31569999999999998</v>
      </c>
    </row>
    <row r="804" spans="1:32" ht="12.95" customHeight="1" x14ac:dyDescent="0.25">
      <c r="A804" s="52"/>
      <c r="B804" s="98"/>
      <c r="C804" s="55"/>
      <c r="D804" s="55"/>
      <c r="E804" s="63"/>
      <c r="F804" s="52"/>
      <c r="G804" s="52"/>
      <c r="H804" s="52"/>
      <c r="I804" s="52"/>
      <c r="J804" s="52"/>
      <c r="K804" s="52"/>
      <c r="L804" s="59">
        <v>0.51</v>
      </c>
      <c r="M804" s="59">
        <v>0.63</v>
      </c>
      <c r="N804" s="52"/>
      <c r="O804" s="52"/>
      <c r="P804" s="63"/>
      <c r="Q804" s="63"/>
      <c r="R804" s="63"/>
      <c r="S804" s="60">
        <v>0.25</v>
      </c>
      <c r="T804" s="48">
        <f>ROUND((L804*I802+1.3*L804*K802+S804*H802),4)</f>
        <v>588.97950000000003</v>
      </c>
      <c r="U804" s="48">
        <f>ROUND((M804*0.9*I802+1.3*M804*0.9*K802+S804*H802),4)</f>
        <v>653.13019999999995</v>
      </c>
      <c r="V804" s="48">
        <f>ROUND((M804*I802+1.3*M804*K802+S804*H802),4)</f>
        <v>724.0335</v>
      </c>
      <c r="W804" s="48">
        <f>ROUND((L804*J802+1.3*L804*N802+S804*G802),4)</f>
        <v>15.27</v>
      </c>
      <c r="X804" s="48">
        <f>ROUND((M804*0.9*J802+1.3*M804*0.9*N802+S804*G802),4)</f>
        <v>16.809000000000001</v>
      </c>
      <c r="Y804" s="48">
        <f>ROUND((M804*J802+1.3*M804*N802+S804*G802),4)</f>
        <v>18.510000000000002</v>
      </c>
      <c r="Z804" s="49">
        <f>ROUND((P802*T804*F802*O802/1000000),4)</f>
        <v>0.106</v>
      </c>
      <c r="AA804" s="49">
        <f>ROUND((Q802*U804*F802*O802/1000000),4)</f>
        <v>5.8799999999999998E-2</v>
      </c>
      <c r="AB804" s="49">
        <f>ROUND((R802*V804*F802*O802/1000000),4)</f>
        <v>4.3400000000000001E-2</v>
      </c>
      <c r="AC804" s="50" t="s">
        <v>203</v>
      </c>
      <c r="AD804" s="51" t="s">
        <v>204</v>
      </c>
      <c r="AE804" s="44">
        <f>ROUND((((X804*E802)/1800)),4)</f>
        <v>9.2999999999999992E-3</v>
      </c>
      <c r="AF804" s="44">
        <f>ROUND(((Z804+AA804+AB804)),5)</f>
        <v>0.2082</v>
      </c>
    </row>
    <row r="805" spans="1:32" ht="12.95" customHeight="1" x14ac:dyDescent="0.25">
      <c r="A805" s="52"/>
      <c r="B805" s="53"/>
      <c r="C805" s="52"/>
      <c r="D805" s="52"/>
      <c r="E805" s="63"/>
      <c r="F805" s="63"/>
      <c r="G805" s="52"/>
      <c r="H805" s="52"/>
      <c r="I805" s="52"/>
      <c r="J805" s="52"/>
      <c r="K805" s="52"/>
      <c r="L805" s="59">
        <v>1.1399999999999999</v>
      </c>
      <c r="M805" s="59">
        <v>1.37</v>
      </c>
      <c r="N805" s="52"/>
      <c r="O805" s="52"/>
      <c r="P805" s="63"/>
      <c r="Q805" s="63"/>
      <c r="R805" s="63"/>
      <c r="S805" s="61">
        <v>0.79</v>
      </c>
      <c r="T805" s="48">
        <f>ROUND((L805*I802+1.3*L805*K802+S805*H802),4)</f>
        <v>1330.413</v>
      </c>
      <c r="U805" s="48">
        <f>ROUND((M805*0.9*I802+1.3*M805*0.9*K802+S805*H802),4)</f>
        <v>1435.0799</v>
      </c>
      <c r="V805" s="48">
        <f>ROUND((M805*I802+1.3*M805*K802+S805*H802),4)</f>
        <v>1589.2665</v>
      </c>
      <c r="W805" s="48">
        <f>ROUND((L805*J802+1.3*L805*N802+S805*G802),4)</f>
        <v>35.520000000000003</v>
      </c>
      <c r="X805" s="48">
        <f>ROUND((M805*0.9*J802+1.3*M805*0.9*N802+S805*G802),4)</f>
        <v>38.030999999999999</v>
      </c>
      <c r="Y805" s="48">
        <f>ROUND((M805*J802+1.3*N802+S805*G802),4)</f>
        <v>36.92</v>
      </c>
      <c r="Z805" s="49">
        <f>ROUND((P802*T805*F802*O802/1000000),4)</f>
        <v>0.23949999999999999</v>
      </c>
      <c r="AA805" s="49">
        <f>ROUND((Q802*U805*F802*O802/1000000),4)</f>
        <v>0.12920000000000001</v>
      </c>
      <c r="AB805" s="49">
        <f>ROUND((R802*V805*F802*O802/1000000),4)</f>
        <v>9.5399999999999999E-2</v>
      </c>
      <c r="AC805" s="50" t="s">
        <v>205</v>
      </c>
      <c r="AD805" s="51" t="s">
        <v>206</v>
      </c>
      <c r="AE805" s="44">
        <f>ROUND((((X805*E802)/1800)),4)</f>
        <v>2.1100000000000001E-2</v>
      </c>
      <c r="AF805" s="44">
        <f>ROUND(((Z805+AA805+AB805)),4)</f>
        <v>0.46410000000000001</v>
      </c>
    </row>
    <row r="806" spans="1:32" ht="12.95" customHeight="1" x14ac:dyDescent="0.25">
      <c r="A806" s="52"/>
      <c r="B806" s="53"/>
      <c r="C806" s="52"/>
      <c r="D806" s="52"/>
      <c r="E806" s="63"/>
      <c r="F806" s="63"/>
      <c r="G806" s="52"/>
      <c r="H806" s="52"/>
      <c r="I806" s="52"/>
      <c r="J806" s="52"/>
      <c r="K806" s="52"/>
      <c r="L806" s="59">
        <v>0.72</v>
      </c>
      <c r="M806" s="59">
        <v>1.08</v>
      </c>
      <c r="N806" s="52"/>
      <c r="O806" s="52"/>
      <c r="P806" s="63"/>
      <c r="Q806" s="63"/>
      <c r="R806" s="63"/>
      <c r="S806" s="61">
        <v>0.17</v>
      </c>
      <c r="T806" s="48">
        <f>ROUND((L806*I802+1.3*L806*K802+S806*H802),4)</f>
        <v>820.524</v>
      </c>
      <c r="U806" s="48">
        <f>ROUND((M806*0.9*I802+1.3*M806*0.9*K802+S806*H802),4)</f>
        <v>1104.1374000000001</v>
      </c>
      <c r="V806" s="48">
        <f>ROUND((M806*I802+1.3*M806*K802+S806*H802),4)</f>
        <v>1225.6859999999999</v>
      </c>
      <c r="W806" s="48">
        <f>ROUND((L806*J802+1.3*L806*N802+S806*G802),4)</f>
        <v>20.46</v>
      </c>
      <c r="X806" s="48">
        <f>ROUND((M806*0.9*J802+1.3*M806*0.9*N802+S806*G802),4)</f>
        <v>27.263999999999999</v>
      </c>
      <c r="Y806" s="48">
        <f>ROUND((M806*J802+1.3*M806*N802+S806*G802),4)</f>
        <v>30.18</v>
      </c>
      <c r="Z806" s="49">
        <f>ROUND((P802*T806*F802*O802/1000000),4)</f>
        <v>0.1477</v>
      </c>
      <c r="AA806" s="49">
        <f>ROUND((Q802*U806*F802*O802/1000000),4)</f>
        <v>9.9400000000000002E-2</v>
      </c>
      <c r="AB806" s="49">
        <f>ROUND((R802*V806*F802*O802/1000000),4)</f>
        <v>7.3499999999999996E-2</v>
      </c>
      <c r="AC806" s="50" t="s">
        <v>250</v>
      </c>
      <c r="AD806" s="51" t="s">
        <v>208</v>
      </c>
      <c r="AE806" s="44">
        <f>ROUND((((X806*E802)/1800)),4)</f>
        <v>1.5100000000000001E-2</v>
      </c>
      <c r="AF806" s="44">
        <f>ROUND(((Z806+AA806+AB806)),4)</f>
        <v>0.3206</v>
      </c>
    </row>
    <row r="807" spans="1:32" ht="12.95" customHeight="1" x14ac:dyDescent="0.25">
      <c r="A807" s="52"/>
      <c r="B807" s="62"/>
      <c r="C807" s="56"/>
      <c r="D807" s="56"/>
      <c r="E807" s="66"/>
      <c r="F807" s="66"/>
      <c r="G807" s="56"/>
      <c r="H807" s="56"/>
      <c r="I807" s="56"/>
      <c r="J807" s="56"/>
      <c r="K807" s="56"/>
      <c r="L807" s="59">
        <v>3.37</v>
      </c>
      <c r="M807" s="59">
        <v>4.1100000000000003</v>
      </c>
      <c r="N807" s="56"/>
      <c r="O807" s="56"/>
      <c r="P807" s="66"/>
      <c r="Q807" s="66"/>
      <c r="R807" s="66"/>
      <c r="S807" s="61">
        <v>6.31</v>
      </c>
      <c r="T807" s="48">
        <f>ROUND((L807*I802+1.3*L807*K802+S807*H802),4)</f>
        <v>4171.3665000000001</v>
      </c>
      <c r="U807" s="48">
        <f>ROUND((M807*0.9*I802+1.3*M807*0.9*K802+S807*H802),4)</f>
        <v>4541.6396000000004</v>
      </c>
      <c r="V807" s="48">
        <f>ROUND((M807*I802+1.3*M807*K802+S807*H802),4)</f>
        <v>5004.1994999999997</v>
      </c>
      <c r="W807" s="48">
        <f>ROUND((L807*J802+1.3*L807*N802+S807*G802),4)</f>
        <v>128.85</v>
      </c>
      <c r="X807" s="48">
        <f>ROUND((M807*0.9*J802+1.3*M807*0.9*N802+S807*G802),4)</f>
        <v>137.733</v>
      </c>
      <c r="Y807" s="48">
        <f>ROUND((M807*J802+1.3*M807*N802+S807*G802),4)</f>
        <v>148.83000000000001</v>
      </c>
      <c r="Z807" s="49">
        <f>ROUND((P802*T807*F802*O802/1000000),4)</f>
        <v>0.75080000000000002</v>
      </c>
      <c r="AA807" s="49">
        <f>ROUND((Q802*U807*F802*O802/1000000),4)</f>
        <v>0.40870000000000001</v>
      </c>
      <c r="AB807" s="49">
        <f>ROUND((R802*V807*F802*O802/1000000),4)</f>
        <v>0.30030000000000001</v>
      </c>
      <c r="AC807" s="50" t="s">
        <v>170</v>
      </c>
      <c r="AD807" s="51" t="s">
        <v>162</v>
      </c>
      <c r="AE807" s="44">
        <f>ROUND((((X807*E802)/1800)),4)</f>
        <v>7.6499999999999999E-2</v>
      </c>
      <c r="AF807" s="44">
        <f>ROUND(((Z807+AA807+AB807)),4)</f>
        <v>1.4598</v>
      </c>
    </row>
    <row r="808" spans="1:32" ht="12.95" customHeight="1" x14ac:dyDescent="0.25">
      <c r="A808" s="52"/>
      <c r="B808" s="67" t="s">
        <v>214</v>
      </c>
      <c r="C808" s="46">
        <v>6</v>
      </c>
      <c r="D808" s="45" t="s">
        <v>210</v>
      </c>
      <c r="E808" s="45">
        <v>1</v>
      </c>
      <c r="F808" s="45">
        <v>4</v>
      </c>
      <c r="G808" s="45">
        <v>6</v>
      </c>
      <c r="H808" s="45">
        <v>60</v>
      </c>
      <c r="I808" s="45">
        <f>(8-1-0.75*2)*60*F808-K808-8*0.12*60</f>
        <v>404.4</v>
      </c>
      <c r="J808" s="45">
        <v>14</v>
      </c>
      <c r="K808" s="45">
        <f>(8-1-0.75*2)*0.65*60*F808</f>
        <v>858</v>
      </c>
      <c r="L808" s="48">
        <v>6.47</v>
      </c>
      <c r="M808" s="48">
        <v>6.47</v>
      </c>
      <c r="N808" s="45">
        <v>10</v>
      </c>
      <c r="O808" s="45">
        <f>E808/F808</f>
        <v>0.25</v>
      </c>
      <c r="P808" s="45">
        <v>180</v>
      </c>
      <c r="Q808" s="45">
        <v>30</v>
      </c>
      <c r="R808" s="47">
        <v>30</v>
      </c>
      <c r="S808" s="47">
        <v>1.27</v>
      </c>
      <c r="T808" s="48">
        <f>ROUND((L808*I808+1.3*L808*K808+S808*H808),4)</f>
        <v>9909.3060000000005</v>
      </c>
      <c r="U808" s="48">
        <f>ROUND((M808*I808+1.3*M808*K808+S808*H808),4)</f>
        <v>9909.3060000000005</v>
      </c>
      <c r="V808" s="48">
        <f>ROUND((M808*I808+1.3*M808*K808+S808*H808),4)</f>
        <v>9909.3060000000005</v>
      </c>
      <c r="W808" s="48">
        <f>ROUND((L808*J808+1.3*L808*N808+S808*G808),4)</f>
        <v>182.31</v>
      </c>
      <c r="X808" s="48">
        <f>ROUND((M808*J808+1.3*M808*N808+S808*G808),4)</f>
        <v>182.31</v>
      </c>
      <c r="Y808" s="48">
        <f>ROUND((M808*J808+1.3*M808*N808+S808*G808),4)</f>
        <v>182.31</v>
      </c>
      <c r="Z808" s="49">
        <f>ROUND((P808*T808*F808*O808/1000000),4)</f>
        <v>1.7837000000000001</v>
      </c>
      <c r="AA808" s="49">
        <f>ROUND((Q808*U808*F808*O808/1000000),4)</f>
        <v>0.29730000000000001</v>
      </c>
      <c r="AB808" s="49">
        <f>ROUND((R808*V808*F808*O808/1000000),4)</f>
        <v>0.29730000000000001</v>
      </c>
      <c r="AC808" s="50" t="s">
        <v>200</v>
      </c>
      <c r="AD808" s="51" t="s">
        <v>153</v>
      </c>
      <c r="AE808" s="44">
        <f>ROUND((((X808*E808)/1800)*0.8),4)</f>
        <v>8.1000000000000003E-2</v>
      </c>
      <c r="AF808" s="44">
        <f>ROUND(((Z808+AA808+AB808)*0.8),4)</f>
        <v>1.9026000000000001</v>
      </c>
    </row>
    <row r="809" spans="1:32" ht="12.95" customHeight="1" x14ac:dyDescent="0.25">
      <c r="A809" s="52"/>
      <c r="B809" s="53" t="s">
        <v>215</v>
      </c>
      <c r="C809" s="52"/>
      <c r="D809" s="52"/>
      <c r="E809" s="52"/>
      <c r="F809" s="52"/>
      <c r="G809" s="52"/>
      <c r="H809" s="52"/>
      <c r="I809" s="52"/>
      <c r="J809" s="52"/>
      <c r="K809" s="52"/>
      <c r="L809" s="56"/>
      <c r="M809" s="56"/>
      <c r="N809" s="52"/>
      <c r="O809" s="52"/>
      <c r="P809" s="63"/>
      <c r="Q809" s="63"/>
      <c r="R809" s="52"/>
      <c r="S809" s="57"/>
      <c r="T809" s="54"/>
      <c r="U809" s="54"/>
      <c r="V809" s="54"/>
      <c r="W809" s="54"/>
      <c r="X809" s="54"/>
      <c r="Y809" s="54"/>
      <c r="Z809" s="54"/>
      <c r="AA809" s="54"/>
      <c r="AB809" s="54"/>
      <c r="AC809" s="50" t="s">
        <v>201</v>
      </c>
      <c r="AD809" s="51" t="s">
        <v>202</v>
      </c>
      <c r="AE809" s="44">
        <f>ROUND((((X808*E808)/1800)*0.13),4)</f>
        <v>1.32E-2</v>
      </c>
      <c r="AF809" s="44">
        <f>ROUND(((Z808+AA808+AB808)*0.13),4)</f>
        <v>0.30919999999999997</v>
      </c>
    </row>
    <row r="810" spans="1:32" ht="12.95" customHeight="1" x14ac:dyDescent="0.25">
      <c r="A810" s="52"/>
      <c r="B810" s="88"/>
      <c r="C810" s="55"/>
      <c r="D810" s="55"/>
      <c r="E810" s="52"/>
      <c r="F810" s="52"/>
      <c r="G810" s="52"/>
      <c r="H810" s="52"/>
      <c r="I810" s="52"/>
      <c r="J810" s="52"/>
      <c r="K810" s="52"/>
      <c r="L810" s="59">
        <v>0.51</v>
      </c>
      <c r="M810" s="59">
        <v>0.63</v>
      </c>
      <c r="N810" s="52"/>
      <c r="O810" s="52"/>
      <c r="P810" s="63"/>
      <c r="Q810" s="63"/>
      <c r="R810" s="52"/>
      <c r="S810" s="60">
        <v>0.25</v>
      </c>
      <c r="T810" s="48">
        <f>ROUND((L810*I808+1.3*L810*K808+S810*H808),4)</f>
        <v>790.09799999999996</v>
      </c>
      <c r="U810" s="48">
        <f>ROUND((M810*0.9*I808+1.3*M810*0.9*K808+S810*H808),4)</f>
        <v>876.72659999999996</v>
      </c>
      <c r="V810" s="48">
        <f>ROUND((M810*I808+1.3*M810*K808+S810*H808),4)</f>
        <v>972.47400000000005</v>
      </c>
      <c r="W810" s="48">
        <f>ROUND((L810*J808+1.3*L810*N808+S810*G808),4)</f>
        <v>15.27</v>
      </c>
      <c r="X810" s="48">
        <f>ROUND((M810*0.9*J808+1.3*M810*0.9*N808+S810*G808),4)</f>
        <v>16.809000000000001</v>
      </c>
      <c r="Y810" s="48">
        <f>ROUND((M810*J808+1.3*M810*N808+S810*G808),4)</f>
        <v>18.510000000000002</v>
      </c>
      <c r="Z810" s="49">
        <f>ROUND((P808*T810*F808*O808/1000000),4)</f>
        <v>0.14219999999999999</v>
      </c>
      <c r="AA810" s="49">
        <f>ROUND((Q808*U810*F808*O808/1000000),4)</f>
        <v>2.63E-2</v>
      </c>
      <c r="AB810" s="49">
        <f>ROUND((R808*V810*F808*O808/1000000),4)</f>
        <v>2.92E-2</v>
      </c>
      <c r="AC810" s="50" t="s">
        <v>203</v>
      </c>
      <c r="AD810" s="51" t="s">
        <v>204</v>
      </c>
      <c r="AE810" s="44">
        <f>ROUND((((X810*E808)/1800)),4)</f>
        <v>9.2999999999999992E-3</v>
      </c>
      <c r="AF810" s="44">
        <f>ROUND(((Z810+AA810+AB810)),5)</f>
        <v>0.19769999999999999</v>
      </c>
    </row>
    <row r="811" spans="1:32" ht="12.95" customHeight="1" x14ac:dyDescent="0.25">
      <c r="A811" s="52"/>
      <c r="B811" s="88"/>
      <c r="C811" s="52"/>
      <c r="D811" s="52"/>
      <c r="E811" s="52"/>
      <c r="F811" s="52"/>
      <c r="G811" s="52"/>
      <c r="H811" s="52"/>
      <c r="I811" s="52"/>
      <c r="J811" s="52"/>
      <c r="K811" s="52"/>
      <c r="L811" s="59">
        <v>1.1399999999999999</v>
      </c>
      <c r="M811" s="59">
        <v>1.37</v>
      </c>
      <c r="N811" s="52"/>
      <c r="O811" s="52"/>
      <c r="P811" s="63"/>
      <c r="Q811" s="63"/>
      <c r="R811" s="52"/>
      <c r="S811" s="61">
        <v>0.79</v>
      </c>
      <c r="T811" s="48">
        <f>ROUND((L811*I808+1.3*L811*K808+S811*H808),4)</f>
        <v>1779.972</v>
      </c>
      <c r="U811" s="48">
        <f>ROUND((M811*0.9*I808+1.3*M811*0.9*K808+S811*H808),4)</f>
        <v>1921.3134</v>
      </c>
      <c r="V811" s="48">
        <f>ROUND((M811*I808+1.3*M811*K808+S811*H808),4)</f>
        <v>2129.5259999999998</v>
      </c>
      <c r="W811" s="48">
        <f>ROUND((L811*J808+1.3*L811*N808+S811*G808),4)</f>
        <v>35.520000000000003</v>
      </c>
      <c r="X811" s="48">
        <f>ROUND((M811*0.9*J808+1.3*M811*0.9*N808+S811*G808),4)</f>
        <v>38.030999999999999</v>
      </c>
      <c r="Y811" s="48">
        <f>ROUND((M811*J808+1.3*N808+S811*G808),4)</f>
        <v>36.92</v>
      </c>
      <c r="Z811" s="49">
        <f>ROUND((P808*T811*F808*O808/1000000),4)</f>
        <v>0.32040000000000002</v>
      </c>
      <c r="AA811" s="49">
        <f>ROUND((Q808*U811*F808*O808/1000000),4)</f>
        <v>5.7599999999999998E-2</v>
      </c>
      <c r="AB811" s="49">
        <f>ROUND((R808*V811*F808*O808/1000000),4)</f>
        <v>6.3899999999999998E-2</v>
      </c>
      <c r="AC811" s="50" t="s">
        <v>205</v>
      </c>
      <c r="AD811" s="51" t="s">
        <v>206</v>
      </c>
      <c r="AE811" s="44">
        <f>ROUND((((X811*E808)/1800)),4)</f>
        <v>2.1100000000000001E-2</v>
      </c>
      <c r="AF811" s="44">
        <f>ROUND(((Z811+AA811+AB811)),4)</f>
        <v>0.44190000000000002</v>
      </c>
    </row>
    <row r="812" spans="1:32" ht="12.95" customHeight="1" x14ac:dyDescent="0.25">
      <c r="A812" s="52"/>
      <c r="B812" s="53"/>
      <c r="C812" s="52"/>
      <c r="D812" s="52"/>
      <c r="E812" s="52"/>
      <c r="F812" s="52"/>
      <c r="G812" s="52"/>
      <c r="H812" s="52"/>
      <c r="I812" s="52"/>
      <c r="J812" s="52"/>
      <c r="K812" s="52"/>
      <c r="L812" s="59">
        <v>0.72</v>
      </c>
      <c r="M812" s="59">
        <v>1.08</v>
      </c>
      <c r="N812" s="52"/>
      <c r="O812" s="52"/>
      <c r="P812" s="63"/>
      <c r="Q812" s="63"/>
      <c r="R812" s="52"/>
      <c r="S812" s="61">
        <v>0.17</v>
      </c>
      <c r="T812" s="48">
        <f>ROUND((L812*I808+1.3*L812*K808+S812*H808),4)</f>
        <v>1104.4559999999999</v>
      </c>
      <c r="U812" s="48">
        <f>ROUND((M812*0.9*I808+1.3*M812*0.9*K808+S812*H808),4)</f>
        <v>1487.4456</v>
      </c>
      <c r="V812" s="48">
        <f>ROUND((M812*I808+1.3*M812*K808+S812*H808),4)</f>
        <v>1651.5840000000001</v>
      </c>
      <c r="W812" s="48">
        <f>ROUND((L812*J808+1.3*L812*N808+S812*G808),4)</f>
        <v>20.46</v>
      </c>
      <c r="X812" s="48">
        <f>ROUND((M812*0.9*J808+1.3*M812*0.9*N808+S812*G808),4)</f>
        <v>27.263999999999999</v>
      </c>
      <c r="Y812" s="48">
        <f>ROUND((M812*J808+1.3*M812*N808+S812*G808),4)</f>
        <v>30.18</v>
      </c>
      <c r="Z812" s="49">
        <f>ROUND((P808*T812*F808*O808/1000000),4)</f>
        <v>0.1988</v>
      </c>
      <c r="AA812" s="49">
        <f>ROUND((Q808*U812*F808*O808/1000000),4)</f>
        <v>4.4600000000000001E-2</v>
      </c>
      <c r="AB812" s="49">
        <f>ROUND((R808*V812*F808*O808/1000000),4)</f>
        <v>4.9500000000000002E-2</v>
      </c>
      <c r="AC812" s="50" t="s">
        <v>250</v>
      </c>
      <c r="AD812" s="51" t="s">
        <v>208</v>
      </c>
      <c r="AE812" s="44">
        <f>ROUND((((X812*E808)/1800)),4)</f>
        <v>1.5100000000000001E-2</v>
      </c>
      <c r="AF812" s="44">
        <f>ROUND(((Z812+AA812+AB812)),4)</f>
        <v>0.29289999999999999</v>
      </c>
    </row>
    <row r="813" spans="1:32" ht="12.95" customHeight="1" x14ac:dyDescent="0.25">
      <c r="A813" s="52"/>
      <c r="B813" s="62"/>
      <c r="C813" s="56"/>
      <c r="D813" s="56"/>
      <c r="E813" s="56"/>
      <c r="F813" s="56"/>
      <c r="G813" s="56"/>
      <c r="H813" s="56"/>
      <c r="I813" s="56"/>
      <c r="J813" s="56"/>
      <c r="K813" s="56"/>
      <c r="L813" s="59">
        <v>3.37</v>
      </c>
      <c r="M813" s="59">
        <v>4.1100000000000003</v>
      </c>
      <c r="N813" s="56"/>
      <c r="O813" s="56"/>
      <c r="P813" s="66"/>
      <c r="Q813" s="66"/>
      <c r="R813" s="56"/>
      <c r="S813" s="61">
        <v>6.31</v>
      </c>
      <c r="T813" s="48">
        <f>ROUND((L813*I808+1.3*L813*K808+S813*H808),4)</f>
        <v>5500.326</v>
      </c>
      <c r="U813" s="48">
        <f>ROUND((M813*0.9*I808+1.3*M813*0.9*K808+S813*H808),4)</f>
        <v>6000.3401999999996</v>
      </c>
      <c r="V813" s="48">
        <f>ROUND((M813*I808+1.3*M813*K808+S813*H808),4)</f>
        <v>6624.9780000000001</v>
      </c>
      <c r="W813" s="48">
        <f>ROUND((L813*J808+1.3*L813*N808+S813*G808),4)</f>
        <v>128.85</v>
      </c>
      <c r="X813" s="48">
        <f>ROUND((M813*0.9*J808+1.3*M813*0.9*N808+S813*G808),4)</f>
        <v>137.733</v>
      </c>
      <c r="Y813" s="48">
        <f>ROUND((M813*J808+1.3*M813*N808+S813*G808),4)</f>
        <v>148.83000000000001</v>
      </c>
      <c r="Z813" s="49">
        <f>ROUND((P808*T813*F808*O808/1000000),4)</f>
        <v>0.99009999999999998</v>
      </c>
      <c r="AA813" s="49">
        <f>ROUND((Q808*U813*F808*O808/1000000),4)</f>
        <v>0.18</v>
      </c>
      <c r="AB813" s="49">
        <f>ROUND((R808*V813*F808*O808/1000000),4)</f>
        <v>0.19869999999999999</v>
      </c>
      <c r="AC813" s="50" t="s">
        <v>170</v>
      </c>
      <c r="AD813" s="51" t="s">
        <v>162</v>
      </c>
      <c r="AE813" s="44">
        <f>ROUND((((X813*E808)/1800)),4)</f>
        <v>7.6499999999999999E-2</v>
      </c>
      <c r="AF813" s="44">
        <f>ROUND(((Z813+AA813+AB813)),4)</f>
        <v>1.3688</v>
      </c>
    </row>
    <row r="814" spans="1:32" ht="12.95" customHeight="1" x14ac:dyDescent="0.25">
      <c r="A814" s="52"/>
      <c r="B814" s="67" t="s">
        <v>214</v>
      </c>
      <c r="C814" s="46">
        <v>7</v>
      </c>
      <c r="D814" s="45" t="s">
        <v>217</v>
      </c>
      <c r="E814" s="45">
        <v>1</v>
      </c>
      <c r="F814" s="45">
        <v>4</v>
      </c>
      <c r="G814" s="45">
        <v>6</v>
      </c>
      <c r="H814" s="45">
        <v>60</v>
      </c>
      <c r="I814" s="45">
        <f>(8-1-0.75*2)*60*F814-K814-8*0.12*60</f>
        <v>404.4</v>
      </c>
      <c r="J814" s="45">
        <v>14</v>
      </c>
      <c r="K814" s="45">
        <f>(8-1-0.75*2)*0.65*60*F814</f>
        <v>858</v>
      </c>
      <c r="L814" s="48">
        <v>10.16</v>
      </c>
      <c r="M814" s="48">
        <v>10.16</v>
      </c>
      <c r="N814" s="45">
        <v>10</v>
      </c>
      <c r="O814" s="45">
        <f>E814/F814</f>
        <v>0.25</v>
      </c>
      <c r="P814" s="45">
        <v>180</v>
      </c>
      <c r="Q814" s="45">
        <v>60</v>
      </c>
      <c r="R814" s="47">
        <v>30</v>
      </c>
      <c r="S814" s="47">
        <v>1.99</v>
      </c>
      <c r="T814" s="48">
        <f>ROUND((L814*I814+1.3*L814*K814+S814*H814),4)</f>
        <v>15560.567999999999</v>
      </c>
      <c r="U814" s="48">
        <f>ROUND((M814*I814+1.3*M814*K814+S814*H814),4)</f>
        <v>15560.567999999999</v>
      </c>
      <c r="V814" s="48">
        <f>ROUND((M814*I814+1.3*M814*K814+S814*H814),4)</f>
        <v>15560.567999999999</v>
      </c>
      <c r="W814" s="48">
        <f>ROUND((L814*J814+1.3*L814*N814+S814*G814),4)</f>
        <v>286.26</v>
      </c>
      <c r="X814" s="48">
        <f>ROUND((M814*J814+1.3*M814*N814+S814*G814),4)</f>
        <v>286.26</v>
      </c>
      <c r="Y814" s="48">
        <f>ROUND((M814*J814+1.3*M814*N814+S814*G814),4)</f>
        <v>286.26</v>
      </c>
      <c r="Z814" s="49">
        <f>ROUND((P814*T814*F814*O814/1000000),4)</f>
        <v>2.8008999999999999</v>
      </c>
      <c r="AA814" s="49">
        <f>ROUND((Q814*U814*F814*O814/1000000),4)</f>
        <v>0.93359999999999999</v>
      </c>
      <c r="AB814" s="49">
        <f>ROUND((R814*V814*F814*O814/1000000),4)</f>
        <v>0.46679999999999999</v>
      </c>
      <c r="AC814" s="50" t="s">
        <v>200</v>
      </c>
      <c r="AD814" s="51" t="s">
        <v>153</v>
      </c>
      <c r="AE814" s="44">
        <f>ROUND((((X814*E814)/1800)*0.8),4)</f>
        <v>0.12720000000000001</v>
      </c>
      <c r="AF814" s="44">
        <f>ROUND(((Z814+AA814+AB814)*0.8),4)</f>
        <v>3.3610000000000002</v>
      </c>
    </row>
    <row r="815" spans="1:32" ht="12.95" customHeight="1" x14ac:dyDescent="0.25">
      <c r="A815" s="52"/>
      <c r="B815" s="53" t="s">
        <v>216</v>
      </c>
      <c r="C815" s="52"/>
      <c r="D815" s="52"/>
      <c r="E815" s="52"/>
      <c r="F815" s="63"/>
      <c r="G815" s="52"/>
      <c r="H815" s="52"/>
      <c r="I815" s="52"/>
      <c r="J815" s="52"/>
      <c r="K815" s="52"/>
      <c r="L815" s="56"/>
      <c r="M815" s="56"/>
      <c r="N815" s="52"/>
      <c r="O815" s="52"/>
      <c r="P815" s="52"/>
      <c r="Q815" s="52"/>
      <c r="R815" s="52"/>
      <c r="S815" s="57"/>
      <c r="T815" s="54"/>
      <c r="U815" s="54"/>
      <c r="V815" s="54"/>
      <c r="W815" s="54"/>
      <c r="X815" s="54"/>
      <c r="Y815" s="54"/>
      <c r="Z815" s="54"/>
      <c r="AA815" s="54"/>
      <c r="AB815" s="54"/>
      <c r="AC815" s="50" t="s">
        <v>201</v>
      </c>
      <c r="AD815" s="51" t="s">
        <v>202</v>
      </c>
      <c r="AE815" s="44">
        <f>ROUND((((X814*E814)/1800)*0.13),4)</f>
        <v>2.07E-2</v>
      </c>
      <c r="AF815" s="44">
        <f>ROUND(((Z814+AA814+AB814)*0.13),4)</f>
        <v>0.54620000000000002</v>
      </c>
    </row>
    <row r="816" spans="1:32" ht="12.95" customHeight="1" x14ac:dyDescent="0.25">
      <c r="A816" s="52"/>
      <c r="B816" s="88"/>
      <c r="C816" s="55"/>
      <c r="D816" s="55"/>
      <c r="E816" s="52"/>
      <c r="F816" s="63"/>
      <c r="G816" s="52"/>
      <c r="H816" s="52"/>
      <c r="I816" s="52"/>
      <c r="J816" s="52"/>
      <c r="K816" s="52"/>
      <c r="L816" s="59">
        <v>0.8</v>
      </c>
      <c r="M816" s="59">
        <v>0.98</v>
      </c>
      <c r="N816" s="52"/>
      <c r="O816" s="52"/>
      <c r="P816" s="52"/>
      <c r="Q816" s="52"/>
      <c r="R816" s="52"/>
      <c r="S816" s="60">
        <v>0.39</v>
      </c>
      <c r="T816" s="48">
        <f>ROUND((L816*I814+1.3*L816*K814+S816*H814),4)</f>
        <v>1239.24</v>
      </c>
      <c r="U816" s="48">
        <f>ROUND((M816*0.9*I814+1.3*M816*0.9*K814+S816*H814),4)</f>
        <v>1363.8635999999999</v>
      </c>
      <c r="V816" s="48">
        <f>ROUND((M816*I814+1.3*M816*K814+S816*H814),4)</f>
        <v>1512.8040000000001</v>
      </c>
      <c r="W816" s="48">
        <f>ROUND((L816*J814+1.3*L816*N814+S816*G814),4)</f>
        <v>23.94</v>
      </c>
      <c r="X816" s="48">
        <f>ROUND((M816*0.9*J814+1.3*M816*0.9*N814+S816*G814),4)</f>
        <v>26.154</v>
      </c>
      <c r="Y816" s="48">
        <f>ROUND((M816*J814+1.3*M816*N814+S816*G814),4)</f>
        <v>28.8</v>
      </c>
      <c r="Z816" s="49">
        <f>ROUND((P814*T816*F814*O814/1000000),4)</f>
        <v>0.22309999999999999</v>
      </c>
      <c r="AA816" s="49">
        <f>ROUND((Q814*U816*F814*O814/1000000),4)</f>
        <v>8.1799999999999998E-2</v>
      </c>
      <c r="AB816" s="49">
        <f>ROUND((R814*V816*F814*O814/1000000),4)</f>
        <v>4.5400000000000003E-2</v>
      </c>
      <c r="AC816" s="50" t="s">
        <v>203</v>
      </c>
      <c r="AD816" s="51" t="s">
        <v>204</v>
      </c>
      <c r="AE816" s="44">
        <f>ROUND((((X816*E814)/1800)),4)</f>
        <v>1.4500000000000001E-2</v>
      </c>
      <c r="AF816" s="44">
        <f>ROUND(((Z816+AA816+AB816)),5)</f>
        <v>0.3503</v>
      </c>
    </row>
    <row r="817" spans="1:34" ht="12.95" customHeight="1" x14ac:dyDescent="0.25">
      <c r="A817" s="52"/>
      <c r="B817" s="88"/>
      <c r="C817" s="52"/>
      <c r="D817" s="52"/>
      <c r="E817" s="52"/>
      <c r="F817" s="63"/>
      <c r="G817" s="52"/>
      <c r="H817" s="52"/>
      <c r="I817" s="52"/>
      <c r="J817" s="52"/>
      <c r="K817" s="52"/>
      <c r="L817" s="59">
        <v>1.79</v>
      </c>
      <c r="M817" s="59">
        <v>2.15</v>
      </c>
      <c r="N817" s="52"/>
      <c r="O817" s="52"/>
      <c r="P817" s="52"/>
      <c r="Q817" s="52"/>
      <c r="R817" s="52"/>
      <c r="S817" s="61">
        <v>1.24</v>
      </c>
      <c r="T817" s="48">
        <f>ROUND((L817*I814+1.3*L817*K814+S817*H814),4)</f>
        <v>2794.8420000000001</v>
      </c>
      <c r="U817" s="48">
        <f>ROUND((M817*0.9*I814+1.3*M817*0.9*K814+S817*H814),4)</f>
        <v>3015.2130000000002</v>
      </c>
      <c r="V817" s="48">
        <f>ROUND((M817*I814+1.3*M817*K814+S817*H814),4)</f>
        <v>3341.97</v>
      </c>
      <c r="W817" s="48">
        <f>ROUND((L817*J814+1.3*L817*N814+S817*G814),4)</f>
        <v>55.77</v>
      </c>
      <c r="X817" s="48">
        <f>ROUND((M817*0.9*J814+1.3*M817*0.9*N814+S817*G814),4)</f>
        <v>59.685000000000002</v>
      </c>
      <c r="Y817" s="48">
        <f>ROUND((M817*J814+1.3*N814+S817*G814),4)</f>
        <v>50.54</v>
      </c>
      <c r="Z817" s="49">
        <f>ROUND((P814*T817*F814*O814/1000000),4)</f>
        <v>0.50309999999999999</v>
      </c>
      <c r="AA817" s="49">
        <f>ROUND((Q814*U817*F814*O814/1000000),4)</f>
        <v>0.18090000000000001</v>
      </c>
      <c r="AB817" s="49">
        <f>ROUND((R814*V817*F814*O814/1000000),4)</f>
        <v>0.1003</v>
      </c>
      <c r="AC817" s="50" t="s">
        <v>205</v>
      </c>
      <c r="AD817" s="51" t="s">
        <v>206</v>
      </c>
      <c r="AE817" s="44">
        <f>ROUND((((X817*E814)/1800)),4)</f>
        <v>3.32E-2</v>
      </c>
      <c r="AF817" s="44">
        <f>ROUND(((Z817+AA817+AB817)),4)</f>
        <v>0.7843</v>
      </c>
    </row>
    <row r="818" spans="1:34" ht="12.95" customHeight="1" x14ac:dyDescent="0.25">
      <c r="A818" s="52"/>
      <c r="B818" s="53"/>
      <c r="C818" s="52"/>
      <c r="D818" s="52"/>
      <c r="E818" s="52"/>
      <c r="F818" s="63"/>
      <c r="G818" s="52"/>
      <c r="H818" s="52"/>
      <c r="I818" s="52"/>
      <c r="J818" s="52"/>
      <c r="K818" s="52"/>
      <c r="L818" s="59">
        <v>1.1299999999999999</v>
      </c>
      <c r="M818" s="59">
        <v>1.7</v>
      </c>
      <c r="N818" s="52"/>
      <c r="O818" s="52"/>
      <c r="P818" s="52"/>
      <c r="Q818" s="52"/>
      <c r="R818" s="52"/>
      <c r="S818" s="61">
        <v>0.26</v>
      </c>
      <c r="T818" s="48">
        <f>ROUND((L818*I814+1.3*L818*K814+S818*H814),4)</f>
        <v>1732.9739999999999</v>
      </c>
      <c r="U818" s="48">
        <f>ROUND((M818*0.9*I814+1.3*M818*0.9*K814+S818*H814),4)</f>
        <v>2340.8939999999998</v>
      </c>
      <c r="V818" s="48">
        <f>ROUND((M818*I814+1.3*M818*K814+S818*H814),4)</f>
        <v>2599.2600000000002</v>
      </c>
      <c r="W818" s="48">
        <f>ROUND((L818*J814+1.3*L818*N814+S818*G814),4)</f>
        <v>32.07</v>
      </c>
      <c r="X818" s="48">
        <f>ROUND((M818*0.9*J814+1.3*M818*0.9*N814+S818*G814),4)</f>
        <v>42.87</v>
      </c>
      <c r="Y818" s="48">
        <f>ROUND((M818*J814+1.3*M818*N814+S818*G814),4)</f>
        <v>47.46</v>
      </c>
      <c r="Z818" s="49">
        <f>ROUND((P814*T818*F814*O814/1000000),4)</f>
        <v>0.31190000000000001</v>
      </c>
      <c r="AA818" s="49">
        <f>ROUND((Q814*U818*F814*O814/1000000),4)</f>
        <v>0.14050000000000001</v>
      </c>
      <c r="AB818" s="49">
        <f>ROUND((R814*V818*F814*O814/1000000),4)</f>
        <v>7.8E-2</v>
      </c>
      <c r="AC818" s="50" t="s">
        <v>250</v>
      </c>
      <c r="AD818" s="51" t="s">
        <v>208</v>
      </c>
      <c r="AE818" s="44">
        <f>ROUND((((X818*E814)/1800)),4)</f>
        <v>2.3800000000000002E-2</v>
      </c>
      <c r="AF818" s="44">
        <f>ROUND(((Z818+AA818+AB818)),4)</f>
        <v>0.53039999999999998</v>
      </c>
    </row>
    <row r="819" spans="1:34" ht="12.95" customHeight="1" x14ac:dyDescent="0.25">
      <c r="A819" s="52"/>
      <c r="B819" s="62"/>
      <c r="C819" s="56"/>
      <c r="D819" s="56"/>
      <c r="E819" s="56"/>
      <c r="F819" s="66"/>
      <c r="G819" s="56"/>
      <c r="H819" s="56"/>
      <c r="I819" s="56"/>
      <c r="J819" s="56"/>
      <c r="K819" s="56"/>
      <c r="L819" s="59">
        <v>5.3</v>
      </c>
      <c r="M819" s="59">
        <v>6.47</v>
      </c>
      <c r="N819" s="56"/>
      <c r="O819" s="56"/>
      <c r="P819" s="56"/>
      <c r="Q819" s="56"/>
      <c r="R819" s="56"/>
      <c r="S819" s="61">
        <v>9.92</v>
      </c>
      <c r="T819" s="48">
        <f>ROUND((L819*I814+1.3*L819*K814+S819*H814),4)</f>
        <v>8650.14</v>
      </c>
      <c r="U819" s="48">
        <f>ROUND((M819*0.9*I814+1.3*M819*0.9*K814+S819*H814),4)</f>
        <v>9444.9953999999998</v>
      </c>
      <c r="V819" s="48">
        <f>ROUND((M819*I814+1.3*M819*K814+S819*H814),4)</f>
        <v>10428.306</v>
      </c>
      <c r="W819" s="48">
        <f>ROUND((L819*J814+1.3*L819*N814+S819*G814),4)</f>
        <v>202.62</v>
      </c>
      <c r="X819" s="48">
        <f>ROUND((M819*0.9*J814+1.3*M819*0.9*N814+S819*G814),4)</f>
        <v>216.74100000000001</v>
      </c>
      <c r="Y819" s="48">
        <f>ROUND((M819*J814+1.3*M819*N814+S819*G814),4)</f>
        <v>234.21</v>
      </c>
      <c r="Z819" s="49">
        <f>ROUND((P814*T819*F814*O814/1000000),4)</f>
        <v>1.5569999999999999</v>
      </c>
      <c r="AA819" s="49">
        <f>ROUND((Q814*U819*F814*O814/1000000),4)</f>
        <v>0.56669999999999998</v>
      </c>
      <c r="AB819" s="49">
        <f>ROUND((R814*V819*F814*O814/1000000),4)</f>
        <v>0.31280000000000002</v>
      </c>
      <c r="AC819" s="50" t="s">
        <v>170</v>
      </c>
      <c r="AD819" s="51" t="s">
        <v>162</v>
      </c>
      <c r="AE819" s="44">
        <f>ROUND((((X819*E814)/1800)),4)</f>
        <v>0.12039999999999999</v>
      </c>
      <c r="AF819" s="44">
        <f>ROUND(((Z819+AA819+AB819)),4)</f>
        <v>2.4365000000000001</v>
      </c>
    </row>
    <row r="820" spans="1:34" ht="12.95" customHeight="1" x14ac:dyDescent="0.25">
      <c r="A820" s="52"/>
      <c r="B820" s="67" t="s">
        <v>220</v>
      </c>
      <c r="C820" s="46">
        <v>7</v>
      </c>
      <c r="D820" s="45" t="s">
        <v>217</v>
      </c>
      <c r="E820" s="45">
        <v>1</v>
      </c>
      <c r="F820" s="45">
        <v>4</v>
      </c>
      <c r="G820" s="45">
        <v>6</v>
      </c>
      <c r="H820" s="45">
        <v>60</v>
      </c>
      <c r="I820" s="45">
        <f>(8-1-0.75*2)*60*F820-K820-8*0.12*60</f>
        <v>404.4</v>
      </c>
      <c r="J820" s="45">
        <v>14</v>
      </c>
      <c r="K820" s="45">
        <f>(8-1-0.75*2)*0.65*60*F820</f>
        <v>858</v>
      </c>
      <c r="L820" s="48">
        <v>10.16</v>
      </c>
      <c r="M820" s="48">
        <v>10.16</v>
      </c>
      <c r="N820" s="45">
        <v>10</v>
      </c>
      <c r="O820" s="45">
        <f>E820/F820</f>
        <v>0.25</v>
      </c>
      <c r="P820" s="45">
        <v>150</v>
      </c>
      <c r="Q820" s="45">
        <v>30</v>
      </c>
      <c r="R820" s="47">
        <v>30</v>
      </c>
      <c r="S820" s="47">
        <v>1.99</v>
      </c>
      <c r="T820" s="48">
        <f>ROUND((L820*I820+1.3*L820*K820+S820*H820),4)</f>
        <v>15560.567999999999</v>
      </c>
      <c r="U820" s="48">
        <f>ROUND((M820*I820+1.3*M820*K820+S820*H820),4)</f>
        <v>15560.567999999999</v>
      </c>
      <c r="V820" s="48">
        <f>ROUND((M820*I820+1.3*M820*K820+S820*H820),4)</f>
        <v>15560.567999999999</v>
      </c>
      <c r="W820" s="48">
        <f>ROUND((L820*J820+1.3*L820*N820+S820*G820),4)</f>
        <v>286.26</v>
      </c>
      <c r="X820" s="48">
        <f>ROUND((M820*J820+1.3*M820*N820+S820*G820),4)</f>
        <v>286.26</v>
      </c>
      <c r="Y820" s="48">
        <f>ROUND((M820*J820+1.3*M820*N820+S820*G820),4)</f>
        <v>286.26</v>
      </c>
      <c r="Z820" s="49">
        <f>ROUND((P820*T820*F820*O820/1000000),4)</f>
        <v>2.3340999999999998</v>
      </c>
      <c r="AA820" s="49">
        <f>ROUND((Q820*U820*F820*O820/1000000),4)</f>
        <v>0.46679999999999999</v>
      </c>
      <c r="AB820" s="49">
        <f>ROUND((R820*V820*F820*O820/1000000),4)</f>
        <v>0.46679999999999999</v>
      </c>
      <c r="AC820" s="50" t="s">
        <v>200</v>
      </c>
      <c r="AD820" s="51" t="s">
        <v>153</v>
      </c>
      <c r="AE820" s="44">
        <f>ROUND((((X820*E820)/1800)*0.8),4)</f>
        <v>0.12720000000000001</v>
      </c>
      <c r="AF820" s="44">
        <f>ROUND(((Z820+AA820+AB820)*0.8),4)</f>
        <v>2.6141999999999999</v>
      </c>
    </row>
    <row r="821" spans="1:34" ht="12.95" customHeight="1" x14ac:dyDescent="0.25">
      <c r="A821" s="52"/>
      <c r="B821" s="53" t="s">
        <v>221</v>
      </c>
      <c r="C821" s="52"/>
      <c r="D821" s="52"/>
      <c r="E821" s="52"/>
      <c r="F821" s="52"/>
      <c r="G821" s="52"/>
      <c r="H821" s="52"/>
      <c r="I821" s="52"/>
      <c r="J821" s="52"/>
      <c r="K821" s="52"/>
      <c r="L821" s="56"/>
      <c r="M821" s="56"/>
      <c r="N821" s="52"/>
      <c r="O821" s="52"/>
      <c r="P821" s="52"/>
      <c r="Q821" s="52"/>
      <c r="R821" s="52"/>
      <c r="S821" s="57"/>
      <c r="T821" s="54"/>
      <c r="U821" s="54"/>
      <c r="V821" s="54"/>
      <c r="W821" s="54"/>
      <c r="X821" s="54"/>
      <c r="Y821" s="54"/>
      <c r="Z821" s="54"/>
      <c r="AA821" s="54"/>
      <c r="AB821" s="54"/>
      <c r="AC821" s="50" t="s">
        <v>201</v>
      </c>
      <c r="AD821" s="51" t="s">
        <v>202</v>
      </c>
      <c r="AE821" s="44">
        <f>ROUND((((X820*E820)/1800)*0.13),4)</f>
        <v>2.07E-2</v>
      </c>
      <c r="AF821" s="44">
        <f>ROUND(((Z820+AA820+AB820)*0.13),4)</f>
        <v>0.42480000000000001</v>
      </c>
    </row>
    <row r="822" spans="1:34" ht="12.95" customHeight="1" x14ac:dyDescent="0.25">
      <c r="A822" s="52"/>
      <c r="B822" s="88"/>
      <c r="C822" s="55"/>
      <c r="D822" s="55"/>
      <c r="E822" s="52"/>
      <c r="F822" s="52"/>
      <c r="G822" s="52"/>
      <c r="H822" s="52"/>
      <c r="I822" s="52"/>
      <c r="J822" s="52"/>
      <c r="K822" s="52"/>
      <c r="L822" s="59">
        <v>0.8</v>
      </c>
      <c r="M822" s="59">
        <v>0.98</v>
      </c>
      <c r="N822" s="52"/>
      <c r="O822" s="52"/>
      <c r="P822" s="52"/>
      <c r="Q822" s="52"/>
      <c r="R822" s="52"/>
      <c r="S822" s="60">
        <v>0.39</v>
      </c>
      <c r="T822" s="48">
        <f>ROUND((L822*I820+1.3*L822*K820+S822*H820),4)</f>
        <v>1239.24</v>
      </c>
      <c r="U822" s="48">
        <f>ROUND((M822*0.9*I820+1.3*M822*0.9*K820+S822*H820),4)</f>
        <v>1363.8635999999999</v>
      </c>
      <c r="V822" s="48">
        <f>ROUND((M822*I820+1.3*M822*K820+S822*H820),4)</f>
        <v>1512.8040000000001</v>
      </c>
      <c r="W822" s="48">
        <f>ROUND((L822*J820+1.3*L822*N820+S822*G820),4)</f>
        <v>23.94</v>
      </c>
      <c r="X822" s="48">
        <f>ROUND((M822*0.9*J820+1.3*M822*0.9*N820+S822*G820),4)</f>
        <v>26.154</v>
      </c>
      <c r="Y822" s="48">
        <f>ROUND((M822*J820+1.3*M822*N820+S822*G820),4)</f>
        <v>28.8</v>
      </c>
      <c r="Z822" s="49">
        <f>ROUND((P820*T822*F820*O820/1000000),4)</f>
        <v>0.18590000000000001</v>
      </c>
      <c r="AA822" s="49">
        <f>ROUND((Q820*U822*F820*O820/1000000),4)</f>
        <v>4.0899999999999999E-2</v>
      </c>
      <c r="AB822" s="49">
        <f>ROUND((R820*V822*F820*O820/1000000),4)</f>
        <v>4.5400000000000003E-2</v>
      </c>
      <c r="AC822" s="50" t="s">
        <v>203</v>
      </c>
      <c r="AD822" s="51" t="s">
        <v>204</v>
      </c>
      <c r="AE822" s="44">
        <f>ROUND((((X822*E820)/1800)),4)</f>
        <v>1.4500000000000001E-2</v>
      </c>
      <c r="AF822" s="44">
        <f>ROUND(((Z822+AA822+AB822)),5)</f>
        <v>0.2722</v>
      </c>
    </row>
    <row r="823" spans="1:34" ht="12.95" customHeight="1" x14ac:dyDescent="0.25">
      <c r="A823" s="52"/>
      <c r="B823" s="88"/>
      <c r="C823" s="52"/>
      <c r="D823" s="52"/>
      <c r="E823" s="52"/>
      <c r="F823" s="52"/>
      <c r="G823" s="52"/>
      <c r="H823" s="52"/>
      <c r="I823" s="52"/>
      <c r="J823" s="52"/>
      <c r="K823" s="52"/>
      <c r="L823" s="59">
        <v>1.79</v>
      </c>
      <c r="M823" s="59">
        <v>2.15</v>
      </c>
      <c r="N823" s="52"/>
      <c r="O823" s="52"/>
      <c r="P823" s="52"/>
      <c r="Q823" s="52"/>
      <c r="R823" s="52"/>
      <c r="S823" s="61">
        <v>1.24</v>
      </c>
      <c r="T823" s="48">
        <f>ROUND((L823*I820+1.3*L823*K820+S823*H820),4)</f>
        <v>2794.8420000000001</v>
      </c>
      <c r="U823" s="48">
        <f>ROUND((M823*0.9*I820+1.3*M823*0.9*K820+S823*H820),4)</f>
        <v>3015.2130000000002</v>
      </c>
      <c r="V823" s="48">
        <f>ROUND((M823*I820+1.3*M823*K820+S823*H820),4)</f>
        <v>3341.97</v>
      </c>
      <c r="W823" s="48">
        <f>ROUND((L823*J820+1.3*L823*N820+S823*G820),4)</f>
        <v>55.77</v>
      </c>
      <c r="X823" s="48">
        <f>ROUND((M823*0.9*J820+1.3*M823*0.9*N820+S823*G820),4)</f>
        <v>59.685000000000002</v>
      </c>
      <c r="Y823" s="48">
        <f>ROUND((M823*J820+1.3*N820+S823*G820),4)</f>
        <v>50.54</v>
      </c>
      <c r="Z823" s="49">
        <f>ROUND((P820*T823*F820*O820/1000000),4)</f>
        <v>0.41920000000000002</v>
      </c>
      <c r="AA823" s="49">
        <f>ROUND((Q820*U823*F820*O820/1000000),4)</f>
        <v>9.0499999999999997E-2</v>
      </c>
      <c r="AB823" s="49">
        <f>ROUND((R820*V823*F820*O820/1000000),4)</f>
        <v>0.1003</v>
      </c>
      <c r="AC823" s="50" t="s">
        <v>205</v>
      </c>
      <c r="AD823" s="51" t="s">
        <v>206</v>
      </c>
      <c r="AE823" s="44">
        <f>ROUND((((X823*E820)/1800)),4)</f>
        <v>3.32E-2</v>
      </c>
      <c r="AF823" s="44">
        <f>ROUND(((Z823+AA823+AB823)),4)</f>
        <v>0.61</v>
      </c>
    </row>
    <row r="824" spans="1:34" ht="12.95" customHeight="1" x14ac:dyDescent="0.25">
      <c r="A824" s="52"/>
      <c r="B824" s="53"/>
      <c r="C824" s="52"/>
      <c r="D824" s="52"/>
      <c r="E824" s="52"/>
      <c r="F824" s="52"/>
      <c r="G824" s="52"/>
      <c r="H824" s="52"/>
      <c r="I824" s="52"/>
      <c r="J824" s="52"/>
      <c r="K824" s="52"/>
      <c r="L824" s="59">
        <v>1.1299999999999999</v>
      </c>
      <c r="M824" s="59">
        <v>1.7</v>
      </c>
      <c r="N824" s="52"/>
      <c r="O824" s="52"/>
      <c r="P824" s="52"/>
      <c r="Q824" s="52"/>
      <c r="R824" s="52"/>
      <c r="S824" s="61">
        <v>0.26</v>
      </c>
      <c r="T824" s="48">
        <f>ROUND((L824*I820+1.3*L824*K820+S824*H820),4)</f>
        <v>1732.9739999999999</v>
      </c>
      <c r="U824" s="48">
        <f>ROUND((M824*0.9*I820+1.3*M824*0.9*K820+S824*H820),4)</f>
        <v>2340.8939999999998</v>
      </c>
      <c r="V824" s="48">
        <f>ROUND((M824*I820+1.3*M824*K820+S824*H820),4)</f>
        <v>2599.2600000000002</v>
      </c>
      <c r="W824" s="48">
        <f>ROUND((L824*J820+1.3*L824*N820+S824*G820),4)</f>
        <v>32.07</v>
      </c>
      <c r="X824" s="48">
        <f>ROUND((M824*0.9*J820+1.3*M824*0.9*N820+S824*G820),4)</f>
        <v>42.87</v>
      </c>
      <c r="Y824" s="48">
        <f>ROUND((M824*J820+1.3*M824*N820+S824*G820),4)</f>
        <v>47.46</v>
      </c>
      <c r="Z824" s="49">
        <f>ROUND((P820*T824*F820*O820/1000000),4)</f>
        <v>0.25990000000000002</v>
      </c>
      <c r="AA824" s="49">
        <f>ROUND((Q820*U824*F820*O820/1000000),4)</f>
        <v>7.0199999999999999E-2</v>
      </c>
      <c r="AB824" s="49">
        <f>ROUND((R820*V824*F820*O820/1000000),4)</f>
        <v>7.8E-2</v>
      </c>
      <c r="AC824" s="50" t="s">
        <v>250</v>
      </c>
      <c r="AD824" s="51" t="s">
        <v>208</v>
      </c>
      <c r="AE824" s="44">
        <f>ROUND((((X824*E820)/1800)),4)</f>
        <v>2.3800000000000002E-2</v>
      </c>
      <c r="AF824" s="44">
        <f>ROUND(((Z824+AA824+AB824)),4)</f>
        <v>0.40810000000000002</v>
      </c>
    </row>
    <row r="825" spans="1:34" ht="12.95" customHeight="1" x14ac:dyDescent="0.25">
      <c r="A825" s="52"/>
      <c r="B825" s="62"/>
      <c r="C825" s="56"/>
      <c r="D825" s="56"/>
      <c r="E825" s="56"/>
      <c r="F825" s="56"/>
      <c r="G825" s="56"/>
      <c r="H825" s="56"/>
      <c r="I825" s="56"/>
      <c r="J825" s="56"/>
      <c r="K825" s="56"/>
      <c r="L825" s="59">
        <v>5.3</v>
      </c>
      <c r="M825" s="59">
        <v>6.47</v>
      </c>
      <c r="N825" s="56"/>
      <c r="O825" s="56"/>
      <c r="P825" s="56"/>
      <c r="Q825" s="56"/>
      <c r="R825" s="56"/>
      <c r="S825" s="61">
        <v>9.92</v>
      </c>
      <c r="T825" s="48">
        <f>ROUND((L825*I820+1.3*L825*K820+S825*H820),4)</f>
        <v>8650.14</v>
      </c>
      <c r="U825" s="48">
        <f>ROUND((M825*0.9*I820+1.3*M825*0.9*K820+S825*H820),4)</f>
        <v>9444.9953999999998</v>
      </c>
      <c r="V825" s="48">
        <f>ROUND((M825*I820+1.3*M825*K820+S825*H820),4)</f>
        <v>10428.306</v>
      </c>
      <c r="W825" s="48">
        <f>ROUND((L825*J820+1.3*L825*N820+S825*G820),4)</f>
        <v>202.62</v>
      </c>
      <c r="X825" s="48">
        <f>ROUND((M825*0.9*J820+1.3*M825*0.9*N820+S825*G820),4)</f>
        <v>216.74100000000001</v>
      </c>
      <c r="Y825" s="48">
        <f>ROUND((M825*J820+1.3*M825*N820+S825*G820),4)</f>
        <v>234.21</v>
      </c>
      <c r="Z825" s="49">
        <f>ROUND((P820*T825*F820*O820/1000000),4)</f>
        <v>1.2975000000000001</v>
      </c>
      <c r="AA825" s="49">
        <f>ROUND((Q820*U825*F820*O820/1000000),4)</f>
        <v>0.2833</v>
      </c>
      <c r="AB825" s="49">
        <f>ROUND((R820*V825*F820*O820/1000000),4)</f>
        <v>0.31280000000000002</v>
      </c>
      <c r="AC825" s="50" t="s">
        <v>170</v>
      </c>
      <c r="AD825" s="51" t="s">
        <v>162</v>
      </c>
      <c r="AE825" s="44">
        <f>ROUND((((X825*E820)/1800)),4)</f>
        <v>0.12039999999999999</v>
      </c>
      <c r="AF825" s="44">
        <f>ROUND(((Z825+AA825+AB825)),4)</f>
        <v>1.8935999999999999</v>
      </c>
    </row>
    <row r="826" spans="1:34" ht="12.95" customHeight="1" x14ac:dyDescent="0.25">
      <c r="A826" s="52"/>
      <c r="B826" s="67" t="s">
        <v>220</v>
      </c>
      <c r="C826" s="46">
        <v>7</v>
      </c>
      <c r="D826" s="45" t="s">
        <v>217</v>
      </c>
      <c r="E826" s="45">
        <v>1</v>
      </c>
      <c r="F826" s="45">
        <v>3</v>
      </c>
      <c r="G826" s="45">
        <v>6</v>
      </c>
      <c r="H826" s="45">
        <v>60</v>
      </c>
      <c r="I826" s="45">
        <f>(8-1-0.75*2)*60*F826-K826-8*0.12*60</f>
        <v>288.89999999999998</v>
      </c>
      <c r="J826" s="45">
        <v>14</v>
      </c>
      <c r="K826" s="45">
        <f>(8-1-0.75*2)*0.65*60*F826</f>
        <v>643.5</v>
      </c>
      <c r="L826" s="48">
        <v>10.16</v>
      </c>
      <c r="M826" s="48">
        <v>10.16</v>
      </c>
      <c r="N826" s="45">
        <v>10</v>
      </c>
      <c r="O826" s="45">
        <f>E826/F826</f>
        <v>0.33333333333333331</v>
      </c>
      <c r="P826" s="45">
        <v>120</v>
      </c>
      <c r="Q826" s="45">
        <v>15</v>
      </c>
      <c r="R826" s="47">
        <v>15</v>
      </c>
      <c r="S826" s="47">
        <v>1.99</v>
      </c>
      <c r="T826" s="48">
        <f>ROUND((L826*I826+1.3*L826*K826+S826*H826),4)</f>
        <v>11553.972</v>
      </c>
      <c r="U826" s="48">
        <f>ROUND((M826*I826+1.3*M826*K826+S826*H826),4)</f>
        <v>11553.972</v>
      </c>
      <c r="V826" s="48">
        <f>ROUND((M826*I826+1.3*M826*K826+S826*H826),4)</f>
        <v>11553.972</v>
      </c>
      <c r="W826" s="48">
        <f>ROUND((L826*J826+1.3*L826*N826+S826*G826),4)</f>
        <v>286.26</v>
      </c>
      <c r="X826" s="48">
        <f>ROUND((M826*J826+1.3*M826*N826+S826*G826),4)</f>
        <v>286.26</v>
      </c>
      <c r="Y826" s="48">
        <f>ROUND((M826*J826+1.3*M826*N826+S826*G826),4)</f>
        <v>286.26</v>
      </c>
      <c r="Z826" s="49">
        <f>ROUND((P826*T826*F826*O826/1000000),4)</f>
        <v>1.3865000000000001</v>
      </c>
      <c r="AA826" s="49">
        <f>ROUND((Q826*U826*F826*O826/1000000),4)</f>
        <v>0.17330000000000001</v>
      </c>
      <c r="AB826" s="49">
        <f>ROUND((R826*V826*F826*O826/1000000),4)</f>
        <v>0.17330000000000001</v>
      </c>
      <c r="AC826" s="50" t="s">
        <v>200</v>
      </c>
      <c r="AD826" s="51" t="s">
        <v>153</v>
      </c>
      <c r="AE826" s="44">
        <f>ROUND((((X826*E826)/1800)*0.8),4)</f>
        <v>0.12720000000000001</v>
      </c>
      <c r="AF826" s="44">
        <f>ROUND(((Z826+AA826+AB826)*0.8),4)</f>
        <v>1.3865000000000001</v>
      </c>
    </row>
    <row r="827" spans="1:34" ht="12.95" customHeight="1" x14ac:dyDescent="0.25">
      <c r="A827" s="52"/>
      <c r="B827" s="53" t="s">
        <v>222</v>
      </c>
      <c r="C827" s="52"/>
      <c r="D827" s="52"/>
      <c r="E827" s="52"/>
      <c r="F827" s="63"/>
      <c r="G827" s="52"/>
      <c r="H827" s="52"/>
      <c r="I827" s="52"/>
      <c r="J827" s="52"/>
      <c r="K827" s="52"/>
      <c r="L827" s="56"/>
      <c r="M827" s="56"/>
      <c r="N827" s="52"/>
      <c r="O827" s="52"/>
      <c r="P827" s="52"/>
      <c r="Q827" s="52"/>
      <c r="R827" s="52"/>
      <c r="S827" s="57"/>
      <c r="T827" s="54"/>
      <c r="U827" s="54"/>
      <c r="V827" s="54"/>
      <c r="W827" s="54"/>
      <c r="X827" s="54"/>
      <c r="Y827" s="54"/>
      <c r="Z827" s="54"/>
      <c r="AA827" s="54"/>
      <c r="AB827" s="54"/>
      <c r="AC827" s="50" t="s">
        <v>201</v>
      </c>
      <c r="AD827" s="51" t="s">
        <v>202</v>
      </c>
      <c r="AE827" s="44">
        <f>ROUND((((X826*E826)/1800)*0.13),4)</f>
        <v>2.07E-2</v>
      </c>
      <c r="AF827" s="44">
        <f>ROUND(((Z826+AA826+AB826)*0.13),4)</f>
        <v>0.2253</v>
      </c>
    </row>
    <row r="828" spans="1:34" ht="12.95" customHeight="1" x14ac:dyDescent="0.25">
      <c r="A828" s="52"/>
      <c r="B828" s="88"/>
      <c r="C828" s="55"/>
      <c r="D828" s="55"/>
      <c r="E828" s="52"/>
      <c r="F828" s="63"/>
      <c r="G828" s="52"/>
      <c r="H828" s="52"/>
      <c r="I828" s="52"/>
      <c r="J828" s="52"/>
      <c r="K828" s="52"/>
      <c r="L828" s="59">
        <v>0.8</v>
      </c>
      <c r="M828" s="59">
        <v>0.98</v>
      </c>
      <c r="N828" s="52"/>
      <c r="O828" s="52"/>
      <c r="P828" s="52"/>
      <c r="Q828" s="52"/>
      <c r="R828" s="52"/>
      <c r="S828" s="60">
        <v>0.39</v>
      </c>
      <c r="T828" s="48">
        <f>ROUND((L828*I826+1.3*L828*K826+S828*H826),4)</f>
        <v>923.76</v>
      </c>
      <c r="U828" s="48">
        <f>ROUND((M828*0.9*I826+1.3*M828*0.9*K826+S828*H826),4)</f>
        <v>1016.0469000000001</v>
      </c>
      <c r="V828" s="48">
        <f>ROUND((M828*I826+1.3*M828*K826+S828*H826),4)</f>
        <v>1126.3409999999999</v>
      </c>
      <c r="W828" s="48">
        <f>ROUND((L828*J826+1.3*L828*N826+S828*G826),4)</f>
        <v>23.94</v>
      </c>
      <c r="X828" s="48">
        <f>ROUND((M828*0.9*J826+1.3*M828*0.9*N826+S828*G826),4)</f>
        <v>26.154</v>
      </c>
      <c r="Y828" s="48">
        <f>ROUND((M828*J826+1.3*M828*N826+S828*G826),4)</f>
        <v>28.8</v>
      </c>
      <c r="Z828" s="49">
        <f>ROUND((P826*T828*F826*O826/1000000),4)</f>
        <v>0.1109</v>
      </c>
      <c r="AA828" s="49">
        <f>ROUND((Q826*U828*F826*O826/1000000),4)</f>
        <v>1.52E-2</v>
      </c>
      <c r="AB828" s="49">
        <f>ROUND((R826*V828*F826*O826/1000000),4)</f>
        <v>1.6899999999999998E-2</v>
      </c>
      <c r="AC828" s="50" t="s">
        <v>203</v>
      </c>
      <c r="AD828" s="51" t="s">
        <v>204</v>
      </c>
      <c r="AE828" s="44">
        <f>ROUND((((X828*E826)/1800)),4)</f>
        <v>1.4500000000000001E-2</v>
      </c>
      <c r="AF828" s="44">
        <f>ROUND(((Z828+AA828+AB828)),5)</f>
        <v>0.14299999999999999</v>
      </c>
    </row>
    <row r="829" spans="1:34" ht="12.95" customHeight="1" x14ac:dyDescent="0.25">
      <c r="A829" s="52"/>
      <c r="B829" s="88"/>
      <c r="C829" s="52"/>
      <c r="D829" s="52"/>
      <c r="E829" s="52"/>
      <c r="F829" s="63"/>
      <c r="G829" s="52"/>
      <c r="H829" s="52"/>
      <c r="I829" s="52"/>
      <c r="J829" s="52"/>
      <c r="K829" s="52"/>
      <c r="L829" s="59">
        <v>1.79</v>
      </c>
      <c r="M829" s="59">
        <v>2.15</v>
      </c>
      <c r="N829" s="52"/>
      <c r="O829" s="52"/>
      <c r="P829" s="52"/>
      <c r="Q829" s="52"/>
      <c r="R829" s="52"/>
      <c r="S829" s="61">
        <v>1.24</v>
      </c>
      <c r="T829" s="48">
        <f>ROUND((L829*I826+1.3*L829*K826+S829*H826),4)</f>
        <v>2088.9555</v>
      </c>
      <c r="U829" s="48">
        <f>ROUND((M829*0.9*I826+1.3*M829*0.9*K826+S829*H826),4)</f>
        <v>2252.1457999999998</v>
      </c>
      <c r="V829" s="48">
        <f>ROUND((M829*I826+1.3*M829*K826+S829*H826),4)</f>
        <v>2494.1174999999998</v>
      </c>
      <c r="W829" s="48">
        <f>ROUND((L829*J826+1.3*L829*N826+S829*G826),4)</f>
        <v>55.77</v>
      </c>
      <c r="X829" s="48">
        <f>ROUND((M829*0.9*J826+1.3*M829*0.9*N826+S829*G826),4)</f>
        <v>59.685000000000002</v>
      </c>
      <c r="Y829" s="48">
        <f>ROUND((M829*J826+1.3*N826+S829*G826),4)</f>
        <v>50.54</v>
      </c>
      <c r="Z829" s="49">
        <f>ROUND((P826*T829*F826*O826/1000000),4)</f>
        <v>0.25069999999999998</v>
      </c>
      <c r="AA829" s="49">
        <f>ROUND((Q826*U829*F826*O826/1000000),4)</f>
        <v>3.3799999999999997E-2</v>
      </c>
      <c r="AB829" s="49">
        <f>ROUND((R826*V829*F826*O826/1000000),4)</f>
        <v>3.7400000000000003E-2</v>
      </c>
      <c r="AC829" s="50" t="s">
        <v>205</v>
      </c>
      <c r="AD829" s="51" t="s">
        <v>206</v>
      </c>
      <c r="AE829" s="44">
        <f>ROUND((((X829*E826)/1800)),4)</f>
        <v>3.32E-2</v>
      </c>
      <c r="AF829" s="44">
        <f>ROUND(((Z829+AA829+AB829)),4)</f>
        <v>0.32190000000000002</v>
      </c>
    </row>
    <row r="830" spans="1:34" ht="12.95" customHeight="1" x14ac:dyDescent="0.25">
      <c r="A830" s="52"/>
      <c r="B830" s="53"/>
      <c r="C830" s="52"/>
      <c r="D830" s="52"/>
      <c r="E830" s="52"/>
      <c r="F830" s="63"/>
      <c r="G830" s="52"/>
      <c r="H830" s="52"/>
      <c r="I830" s="52"/>
      <c r="J830" s="52"/>
      <c r="K830" s="52"/>
      <c r="L830" s="59">
        <v>1.1299999999999999</v>
      </c>
      <c r="M830" s="59">
        <v>1.7</v>
      </c>
      <c r="N830" s="52"/>
      <c r="O830" s="52"/>
      <c r="P830" s="52"/>
      <c r="Q830" s="52"/>
      <c r="R830" s="52"/>
      <c r="S830" s="61">
        <v>0.26</v>
      </c>
      <c r="T830" s="48">
        <f>ROUND((L830*I826+1.3*L830*K826+S830*H826),4)</f>
        <v>1287.3585</v>
      </c>
      <c r="U830" s="48">
        <f>ROUND((M830*0.9*I826+1.3*M830*0.9*K826+S830*H826),4)</f>
        <v>1737.5385000000001</v>
      </c>
      <c r="V830" s="48">
        <f>ROUND((M830*I826+1.3*M830*K826+S830*H826),4)</f>
        <v>1928.865</v>
      </c>
      <c r="W830" s="48">
        <f>ROUND((L830*J826+1.3*L830*N826+S830*G826),4)</f>
        <v>32.07</v>
      </c>
      <c r="X830" s="48">
        <f>ROUND((M830*0.9*J826+1.3*M830*0.9*N826+S830*G826),4)</f>
        <v>42.87</v>
      </c>
      <c r="Y830" s="48">
        <f>ROUND((M830*J826+1.3*M830*N826+S830*G826),4)</f>
        <v>47.46</v>
      </c>
      <c r="Z830" s="49">
        <f>ROUND((P826*T830*F826*O826/1000000),4)</f>
        <v>0.1545</v>
      </c>
      <c r="AA830" s="49">
        <f>ROUND((Q826*U830*F826*O826/1000000),4)</f>
        <v>2.6100000000000002E-2</v>
      </c>
      <c r="AB830" s="49">
        <f>ROUND((R826*V830*F826*O826/1000000),4)</f>
        <v>2.8899999999999999E-2</v>
      </c>
      <c r="AC830" s="50" t="s">
        <v>250</v>
      </c>
      <c r="AD830" s="51" t="s">
        <v>208</v>
      </c>
      <c r="AE830" s="44">
        <f>ROUND((((X830*E826)/1800)),4)</f>
        <v>2.3800000000000002E-2</v>
      </c>
      <c r="AF830" s="44">
        <f>ROUND(((Z830+AA830+AB830)),4)</f>
        <v>0.20949999999999999</v>
      </c>
    </row>
    <row r="831" spans="1:34" ht="12.95" customHeight="1" x14ac:dyDescent="0.25">
      <c r="A831" s="52"/>
      <c r="B831" s="62"/>
      <c r="C831" s="56"/>
      <c r="D831" s="56"/>
      <c r="E831" s="56"/>
      <c r="F831" s="66"/>
      <c r="G831" s="56"/>
      <c r="H831" s="56"/>
      <c r="I831" s="56"/>
      <c r="J831" s="56"/>
      <c r="K831" s="56"/>
      <c r="L831" s="59">
        <v>5.3</v>
      </c>
      <c r="M831" s="59">
        <v>6.47</v>
      </c>
      <c r="N831" s="56"/>
      <c r="O831" s="56"/>
      <c r="P831" s="56"/>
      <c r="Q831" s="56"/>
      <c r="R831" s="56"/>
      <c r="S831" s="61">
        <v>9.92</v>
      </c>
      <c r="T831" s="48">
        <f>ROUND((L831*I826+1.3*L831*K826+S831*H826),4)</f>
        <v>6560.085</v>
      </c>
      <c r="U831" s="48">
        <f>ROUND((M831*0.9*I826+1.3*M831*0.9*K826+S831*H826),4)</f>
        <v>7148.6953999999996</v>
      </c>
      <c r="V831" s="48">
        <f>ROUND((M831*I826+1.3*M831*K826+S831*H826),4)</f>
        <v>7876.8615</v>
      </c>
      <c r="W831" s="48">
        <f>ROUND((L831*J826+1.3*L831*N826+S831*G826),4)</f>
        <v>202.62</v>
      </c>
      <c r="X831" s="48">
        <f>ROUND((M831*0.9*J826+1.3*M831*0.9*N826+S831*G826),4)</f>
        <v>216.74100000000001</v>
      </c>
      <c r="Y831" s="48">
        <f>ROUND((M831*J826+1.3*M831*N826+S831*G826),4)</f>
        <v>234.21</v>
      </c>
      <c r="Z831" s="49">
        <f>ROUND((P826*T831*F826*O826/1000000),4)</f>
        <v>0.78720000000000001</v>
      </c>
      <c r="AA831" s="49">
        <f>ROUND((Q826*U831*F826*O826/1000000),4)</f>
        <v>0.1072</v>
      </c>
      <c r="AB831" s="49">
        <f>ROUND((R826*V831*F826*O826/1000000),4)</f>
        <v>0.1182</v>
      </c>
      <c r="AC831" s="50" t="s">
        <v>170</v>
      </c>
      <c r="AD831" s="51" t="s">
        <v>162</v>
      </c>
      <c r="AE831" s="44">
        <f>ROUND((((X831*E826)/1800)),4)</f>
        <v>0.12039999999999999</v>
      </c>
      <c r="AF831" s="44">
        <f>ROUND(((Z831+AA831+AB831)),4)</f>
        <v>1.0125999999999999</v>
      </c>
    </row>
    <row r="832" spans="1:34" ht="12.95" customHeight="1" x14ac:dyDescent="0.25">
      <c r="A832" s="52"/>
      <c r="B832" s="67" t="s">
        <v>223</v>
      </c>
      <c r="C832" s="46">
        <v>1</v>
      </c>
      <c r="D832" s="45" t="s">
        <v>225</v>
      </c>
      <c r="E832" s="45">
        <v>1</v>
      </c>
      <c r="F832" s="45">
        <v>2</v>
      </c>
      <c r="G832" s="45">
        <v>6</v>
      </c>
      <c r="H832" s="45">
        <v>60</v>
      </c>
      <c r="I832" s="45">
        <f>(8-1-0.75*2)*60*F832-K832-8*0.12*60</f>
        <v>173.4</v>
      </c>
      <c r="J832" s="45">
        <v>14</v>
      </c>
      <c r="K832" s="45">
        <f>(8-1-0.75*2)*0.65*60*F832</f>
        <v>429</v>
      </c>
      <c r="L832" s="48">
        <v>0.47</v>
      </c>
      <c r="M832" s="48">
        <v>0.47</v>
      </c>
      <c r="N832" s="45">
        <v>10</v>
      </c>
      <c r="O832" s="45">
        <f>E832/F832</f>
        <v>0.5</v>
      </c>
      <c r="P832" s="45">
        <v>120</v>
      </c>
      <c r="Q832" s="45">
        <v>30</v>
      </c>
      <c r="R832" s="47">
        <v>0</v>
      </c>
      <c r="S832" s="47">
        <v>0.09</v>
      </c>
      <c r="T832" s="48">
        <f>ROUND((L832*I832+1.3*L832*K832+S832*H832),4)</f>
        <v>349.017</v>
      </c>
      <c r="U832" s="48">
        <f>ROUND((M832*I832+1.3*M832*K832+S832*H832),4)</f>
        <v>349.017</v>
      </c>
      <c r="V832" s="48">
        <f>ROUND((M832*I832+1.3*M832*K832+S832*H832),4)</f>
        <v>349.017</v>
      </c>
      <c r="W832" s="48">
        <f>ROUND((L832*J832+1.3*L832*N832+S832*G832),4)</f>
        <v>13.23</v>
      </c>
      <c r="X832" s="48">
        <f>ROUND((M832*J832+1.3*M832*N832+S832*G832),4)</f>
        <v>13.23</v>
      </c>
      <c r="Y832" s="48">
        <f>ROUND((M832*J832+1.3*M832*N832+S832*G832),4)</f>
        <v>13.23</v>
      </c>
      <c r="Z832" s="49">
        <f>ROUND((P832*T832*F832*O832/1000000),4)</f>
        <v>4.19E-2</v>
      </c>
      <c r="AA832" s="49">
        <f>ROUND((Q832*U832*F832*O832/1000000),4)</f>
        <v>1.0500000000000001E-2</v>
      </c>
      <c r="AB832" s="49">
        <f>ROUND((R832*V832*F832*O832/1000000),4)</f>
        <v>0</v>
      </c>
      <c r="AC832" s="50" t="s">
        <v>200</v>
      </c>
      <c r="AD832" s="51" t="s">
        <v>153</v>
      </c>
      <c r="AE832" s="44">
        <f>ROUND((((X832*E832)/1800)*0.8),4)</f>
        <v>5.8999999999999999E-3</v>
      </c>
      <c r="AF832" s="44">
        <f>ROUND(((Z832+AA832+AB832)*0.8),4)</f>
        <v>4.19E-2</v>
      </c>
      <c r="AG832" s="88"/>
      <c r="AH832" s="88"/>
    </row>
    <row r="833" spans="1:34" ht="12.95" customHeight="1" x14ac:dyDescent="0.25">
      <c r="A833" s="52"/>
      <c r="B833" s="53" t="s">
        <v>224</v>
      </c>
      <c r="C833" s="52"/>
      <c r="D833" s="52"/>
      <c r="E833" s="52"/>
      <c r="F833" s="63"/>
      <c r="G833" s="52"/>
      <c r="H833" s="52"/>
      <c r="I833" s="52"/>
      <c r="J833" s="52"/>
      <c r="K833" s="52"/>
      <c r="L833" s="56"/>
      <c r="M833" s="56"/>
      <c r="N833" s="52"/>
      <c r="O833" s="52"/>
      <c r="P833" s="52"/>
      <c r="Q833" s="52"/>
      <c r="R833" s="52"/>
      <c r="S833" s="57"/>
      <c r="T833" s="54"/>
      <c r="U833" s="54"/>
      <c r="V833" s="54"/>
      <c r="W833" s="54"/>
      <c r="X833" s="54"/>
      <c r="Y833" s="54"/>
      <c r="Z833" s="54"/>
      <c r="AA833" s="54"/>
      <c r="AB833" s="54"/>
      <c r="AC833" s="50" t="s">
        <v>201</v>
      </c>
      <c r="AD833" s="51" t="s">
        <v>202</v>
      </c>
      <c r="AE833" s="44">
        <f>ROUND((((X832*E832)/1800)*0.13),4)</f>
        <v>1E-3</v>
      </c>
      <c r="AF833" s="44">
        <f>ROUND(((Z832+AA832+AB832)*0.13),4)</f>
        <v>6.7999999999999996E-3</v>
      </c>
      <c r="AG833" s="88"/>
      <c r="AH833" s="88"/>
    </row>
    <row r="834" spans="1:34" ht="12.95" customHeight="1" x14ac:dyDescent="0.25">
      <c r="A834" s="52"/>
      <c r="B834" s="88"/>
      <c r="C834" s="55"/>
      <c r="D834" s="55"/>
      <c r="E834" s="52"/>
      <c r="F834" s="63"/>
      <c r="G834" s="52"/>
      <c r="H834" s="52"/>
      <c r="I834" s="52"/>
      <c r="J834" s="52"/>
      <c r="K834" s="52"/>
      <c r="L834" s="59">
        <v>0.8</v>
      </c>
      <c r="M834" s="59">
        <v>0.98</v>
      </c>
      <c r="N834" s="52"/>
      <c r="O834" s="52"/>
      <c r="P834" s="52"/>
      <c r="Q834" s="52"/>
      <c r="R834" s="52"/>
      <c r="S834" s="60">
        <v>1.7999999999999999E-2</v>
      </c>
      <c r="T834" s="48">
        <f>ROUND((L834*I832+1.3*L834*K832+S834*H832),4)</f>
        <v>585.96</v>
      </c>
      <c r="U834" s="48">
        <f>ROUND((M834*0.9*I832+1.3*M834*0.9*K832+S834*H832),4)</f>
        <v>645.91020000000003</v>
      </c>
      <c r="V834" s="48">
        <f>ROUND((M834*I832+1.3*M834*K832+S834*H832),4)</f>
        <v>717.55799999999999</v>
      </c>
      <c r="W834" s="48">
        <f>ROUND((L834*J832+1.3*L834*N832+S834*G832),4)</f>
        <v>21.707999999999998</v>
      </c>
      <c r="X834" s="48">
        <f>ROUND((M834*0.9*J832+1.3*M834*0.9*N832+S834*G832),4)</f>
        <v>23.922000000000001</v>
      </c>
      <c r="Y834" s="48">
        <f>ROUND((M834*J832+1.3*M834*N832+S834*G832),4)</f>
        <v>26.568000000000001</v>
      </c>
      <c r="Z834" s="49">
        <f>ROUND((P832*T834*F832*O832/1000000),4)</f>
        <v>7.0300000000000001E-2</v>
      </c>
      <c r="AA834" s="49">
        <f>ROUND((Q832*U834*F832*O832/1000000),4)</f>
        <v>1.9400000000000001E-2</v>
      </c>
      <c r="AB834" s="49">
        <f>ROUND((R832*V834*F832*O832/1000000),4)</f>
        <v>0</v>
      </c>
      <c r="AC834" s="50" t="s">
        <v>203</v>
      </c>
      <c r="AD834" s="51" t="s">
        <v>204</v>
      </c>
      <c r="AE834" s="44">
        <f>ROUND((((X834*E832)/1800)),4)</f>
        <v>1.3299999999999999E-2</v>
      </c>
      <c r="AF834" s="44">
        <f>ROUND(((Z834+AA834+AB834)),5)</f>
        <v>8.9700000000000002E-2</v>
      </c>
      <c r="AG834" s="88"/>
      <c r="AH834" s="88"/>
    </row>
    <row r="835" spans="1:34" ht="12.95" customHeight="1" x14ac:dyDescent="0.25">
      <c r="A835" s="52"/>
      <c r="B835" s="88"/>
      <c r="C835" s="52"/>
      <c r="D835" s="52"/>
      <c r="E835" s="52"/>
      <c r="F835" s="63"/>
      <c r="G835" s="52"/>
      <c r="H835" s="52"/>
      <c r="I835" s="52"/>
      <c r="J835" s="52"/>
      <c r="K835" s="52"/>
      <c r="L835" s="59">
        <v>0.08</v>
      </c>
      <c r="M835" s="59">
        <v>0.1</v>
      </c>
      <c r="N835" s="52"/>
      <c r="O835" s="52"/>
      <c r="P835" s="52"/>
      <c r="Q835" s="52"/>
      <c r="R835" s="52"/>
      <c r="S835" s="61">
        <v>0.06</v>
      </c>
      <c r="T835" s="48">
        <f>ROUND((L835*I832+1.3*L835*K832+S835*H832),4)</f>
        <v>62.088000000000001</v>
      </c>
      <c r="U835" s="48">
        <f>ROUND((M835*0.9*I832+1.3*M835*0.9*K832+S835*H832),4)</f>
        <v>69.399000000000001</v>
      </c>
      <c r="V835" s="48">
        <f>ROUND((M835*I832+1.3*M835*K832+S835*H832),4)</f>
        <v>76.709999999999994</v>
      </c>
      <c r="W835" s="48">
        <f>ROUND((L835*J832+1.3*L835*N832+S835*G832),4)</f>
        <v>2.52</v>
      </c>
      <c r="X835" s="48">
        <f>ROUND((M835*0.9*J832+1.3*M835*0.9*N832+S835*G832),4)</f>
        <v>2.79</v>
      </c>
      <c r="Y835" s="48">
        <f>ROUND((M835*J832+1.3*N832+S835*G832),4)</f>
        <v>14.76</v>
      </c>
      <c r="Z835" s="49">
        <f>ROUND((P832*T835*F832*O832/1000000),4)</f>
        <v>7.4999999999999997E-3</v>
      </c>
      <c r="AA835" s="49">
        <f>ROUND((Q832*U835*F832*O832/1000000),4)</f>
        <v>2.0999999999999999E-3</v>
      </c>
      <c r="AB835" s="49">
        <f>ROUND((R832*V835*F832*O832/1000000),4)</f>
        <v>0</v>
      </c>
      <c r="AC835" s="50" t="s">
        <v>205</v>
      </c>
      <c r="AD835" s="51" t="s">
        <v>206</v>
      </c>
      <c r="AE835" s="44">
        <f>ROUND((((X835*E832)/1800)),4)</f>
        <v>1.6000000000000001E-3</v>
      </c>
      <c r="AF835" s="44">
        <f>ROUND(((Z835+AA835+AB835)),4)</f>
        <v>9.5999999999999992E-3</v>
      </c>
      <c r="AG835" s="88"/>
      <c r="AH835" s="88"/>
    </row>
    <row r="836" spans="1:34" ht="12.95" customHeight="1" x14ac:dyDescent="0.25">
      <c r="A836" s="52"/>
      <c r="B836" s="53"/>
      <c r="C836" s="52"/>
      <c r="D836" s="52"/>
      <c r="E836" s="52"/>
      <c r="F836" s="63"/>
      <c r="G836" s="52"/>
      <c r="H836" s="52"/>
      <c r="I836" s="52"/>
      <c r="J836" s="52"/>
      <c r="K836" s="52"/>
      <c r="L836" s="59">
        <v>0.05</v>
      </c>
      <c r="M836" s="59">
        <v>7.0000000000000007E-2</v>
      </c>
      <c r="N836" s="52"/>
      <c r="O836" s="52"/>
      <c r="P836" s="52"/>
      <c r="Q836" s="52"/>
      <c r="R836" s="52"/>
      <c r="S836" s="61">
        <v>0.01</v>
      </c>
      <c r="T836" s="48">
        <f>ROUND((L836*I832+1.3*L836*K832+S836*H832),4)</f>
        <v>37.155000000000001</v>
      </c>
      <c r="U836" s="48">
        <f>ROUND((M836*0.9*I832+1.3*M836*0.9*K832+S836*H832),4)</f>
        <v>46.659300000000002</v>
      </c>
      <c r="V836" s="48">
        <f>ROUND((M836*I832+1.3*M836*K832+S836*H832),4)</f>
        <v>51.777000000000001</v>
      </c>
      <c r="W836" s="48">
        <f>ROUND((L836*J832+1.3*L836*N832+S836*G832),4)</f>
        <v>1.41</v>
      </c>
      <c r="X836" s="48">
        <f>ROUND((M836*0.9*J832+1.3*M836*0.9*N832+S836*G832),4)</f>
        <v>1.7609999999999999</v>
      </c>
      <c r="Y836" s="48">
        <f>ROUND((M836*J832+1.3*M836*N832+S836*G832),4)</f>
        <v>1.95</v>
      </c>
      <c r="Z836" s="49">
        <f>ROUND((P832*T836*F832*O832/1000000),4)</f>
        <v>4.4999999999999997E-3</v>
      </c>
      <c r="AA836" s="49">
        <f>ROUND((Q832*U836*F832*O832/1000000),4)</f>
        <v>1.4E-3</v>
      </c>
      <c r="AB836" s="49">
        <f>ROUND((R832*V836*F832*O832/1000000),4)</f>
        <v>0</v>
      </c>
      <c r="AC836" s="50" t="s">
        <v>250</v>
      </c>
      <c r="AD836" s="51" t="s">
        <v>208</v>
      </c>
      <c r="AE836" s="44">
        <f>ROUND((((X836*E832)/1800)),4)</f>
        <v>1E-3</v>
      </c>
      <c r="AF836" s="44">
        <f>ROUND(((Z836+AA836+AB836)),4)</f>
        <v>5.8999999999999999E-3</v>
      </c>
      <c r="AG836" s="88"/>
      <c r="AH836" s="88"/>
    </row>
    <row r="837" spans="1:34" ht="12.95" customHeight="1" x14ac:dyDescent="0.25">
      <c r="A837" s="52"/>
      <c r="B837" s="62"/>
      <c r="C837" s="56"/>
      <c r="D837" s="56"/>
      <c r="E837" s="56"/>
      <c r="F837" s="66"/>
      <c r="G837" s="56"/>
      <c r="H837" s="56"/>
      <c r="I837" s="56"/>
      <c r="J837" s="56"/>
      <c r="K837" s="56"/>
      <c r="L837" s="59">
        <v>3.5999999999999997E-2</v>
      </c>
      <c r="M837" s="59">
        <v>4.3999999999999997E-2</v>
      </c>
      <c r="N837" s="56"/>
      <c r="O837" s="56"/>
      <c r="P837" s="56"/>
      <c r="Q837" s="56"/>
      <c r="R837" s="56"/>
      <c r="S837" s="61">
        <v>0.45</v>
      </c>
      <c r="T837" s="48">
        <f>ROUND((L837*I832+1.3*L837*K832+S837*H832),4)</f>
        <v>53.319600000000001</v>
      </c>
      <c r="U837" s="48">
        <f>ROUND((M837*0.9*I832+1.3*M837*0.9*K832+S837*H832),4)</f>
        <v>55.951599999999999</v>
      </c>
      <c r="V837" s="48">
        <f>ROUND((M837*I832+1.3*M837*K832+S837*H832),4)</f>
        <v>59.168399999999998</v>
      </c>
      <c r="W837" s="48">
        <f>ROUND((L837*J832+1.3*L837*N832+S837*G832),4)</f>
        <v>3.6720000000000002</v>
      </c>
      <c r="X837" s="48">
        <f>ROUND((M837*0.9*J832+1.3*M837*0.9*N832+S837*G832),4)</f>
        <v>3.7692000000000001</v>
      </c>
      <c r="Y837" s="48">
        <f>ROUND((M837*J832+1.3*M837*N832+S837*G832),4)</f>
        <v>3.8879999999999999</v>
      </c>
      <c r="Z837" s="49">
        <f>ROUND((P832*T837*F832*O832/1000000),4)</f>
        <v>6.4000000000000003E-3</v>
      </c>
      <c r="AA837" s="49">
        <f>ROUND((Q832*U837*F832*O832/1000000),4)</f>
        <v>1.6999999999999999E-3</v>
      </c>
      <c r="AB837" s="49">
        <f>ROUND((R832*V837*F832*O832/1000000),4)</f>
        <v>0</v>
      </c>
      <c r="AC837" s="50" t="s">
        <v>170</v>
      </c>
      <c r="AD837" s="51" t="s">
        <v>162</v>
      </c>
      <c r="AE837" s="44">
        <f>ROUND((((X837*E832)/1800)),4)</f>
        <v>2.0999999999999999E-3</v>
      </c>
      <c r="AF837" s="44">
        <f>ROUND(((Z837+AA837+AB837)),4)</f>
        <v>8.0999999999999996E-3</v>
      </c>
      <c r="AG837" s="88"/>
      <c r="AH837" s="88"/>
    </row>
    <row r="838" spans="1:34" ht="12.95" customHeight="1" x14ac:dyDescent="0.25">
      <c r="A838" s="89"/>
      <c r="B838" s="46" t="s">
        <v>234</v>
      </c>
      <c r="C838" s="46">
        <v>6</v>
      </c>
      <c r="D838" s="45" t="s">
        <v>210</v>
      </c>
      <c r="E838" s="45">
        <v>1</v>
      </c>
      <c r="F838" s="45">
        <v>1</v>
      </c>
      <c r="G838" s="45">
        <v>6</v>
      </c>
      <c r="H838" s="45">
        <v>60</v>
      </c>
      <c r="I838" s="45">
        <f>(8-1-0.75*2)*60*F838-K838-8*0.12*60</f>
        <v>57.900000000000006</v>
      </c>
      <c r="J838" s="45">
        <v>14</v>
      </c>
      <c r="K838" s="45">
        <f>(8-1-0.75*2)*0.65*60*F838</f>
        <v>214.5</v>
      </c>
      <c r="L838" s="48">
        <v>6.47</v>
      </c>
      <c r="M838" s="48">
        <v>6.47</v>
      </c>
      <c r="N838" s="45">
        <v>10</v>
      </c>
      <c r="O838" s="45">
        <f>E838/F838</f>
        <v>1</v>
      </c>
      <c r="P838" s="45">
        <v>30</v>
      </c>
      <c r="Q838" s="45">
        <v>0</v>
      </c>
      <c r="R838" s="47">
        <v>0</v>
      </c>
      <c r="S838" s="47">
        <v>1.27</v>
      </c>
      <c r="T838" s="48">
        <f>ROUND((L838*I838+1.3*L838*K838+S838*H838),4)</f>
        <v>2254.9724999999999</v>
      </c>
      <c r="U838" s="48">
        <f>ROUND((M838*I838+1.3*M838*K838+S838*H838),4)</f>
        <v>2254.9724999999999</v>
      </c>
      <c r="V838" s="48">
        <f>ROUND((M838*I838+1.3*M838*K838+S838*H838),4)</f>
        <v>2254.9724999999999</v>
      </c>
      <c r="W838" s="48">
        <f>ROUND((L838*J838+1.3*L838*N838+S838*G838),4)</f>
        <v>182.31</v>
      </c>
      <c r="X838" s="48">
        <f>ROUND((M838*J838+1.3*M838*N838+S838*G838),4)</f>
        <v>182.31</v>
      </c>
      <c r="Y838" s="48">
        <f>ROUND((M838*J838+1.3*M838*N838+S838*G838),4)</f>
        <v>182.31</v>
      </c>
      <c r="Z838" s="49">
        <f>ROUND((P838*T838*F838*O838/1000000),4)</f>
        <v>6.7599999999999993E-2</v>
      </c>
      <c r="AA838" s="49">
        <f>ROUND((Q838*U838*F838*O838/1000000),4)</f>
        <v>0</v>
      </c>
      <c r="AB838" s="49">
        <f>ROUND((R838*V838*F838*O838/1000000),4)</f>
        <v>0</v>
      </c>
      <c r="AC838" s="50" t="s">
        <v>200</v>
      </c>
      <c r="AD838" s="51" t="s">
        <v>153</v>
      </c>
      <c r="AE838" s="44">
        <f>ROUND((((X838*E838)/1800)*0.8),4)</f>
        <v>8.1000000000000003E-2</v>
      </c>
      <c r="AF838" s="44">
        <f>ROUND(((Z838+AA838+AB838)*0.8),4)</f>
        <v>5.4100000000000002E-2</v>
      </c>
      <c r="AG838" s="88"/>
      <c r="AH838" s="88"/>
    </row>
    <row r="839" spans="1:34" ht="12.95" customHeight="1" x14ac:dyDescent="0.25">
      <c r="A839" s="89"/>
      <c r="B839" s="53" t="s">
        <v>235</v>
      </c>
      <c r="C839" s="52"/>
      <c r="D839" s="52"/>
      <c r="E839" s="52"/>
      <c r="F839" s="63"/>
      <c r="G839" s="52"/>
      <c r="H839" s="52"/>
      <c r="I839" s="52"/>
      <c r="J839" s="52"/>
      <c r="K839" s="52"/>
      <c r="L839" s="56"/>
      <c r="M839" s="56"/>
      <c r="N839" s="52"/>
      <c r="O839" s="52"/>
      <c r="P839" s="52"/>
      <c r="Q839" s="52"/>
      <c r="R839" s="52"/>
      <c r="S839" s="57"/>
      <c r="T839" s="54"/>
      <c r="U839" s="54"/>
      <c r="V839" s="54"/>
      <c r="W839" s="54"/>
      <c r="X839" s="54"/>
      <c r="Y839" s="54"/>
      <c r="Z839" s="54"/>
      <c r="AA839" s="54"/>
      <c r="AB839" s="54"/>
      <c r="AC839" s="50" t="s">
        <v>201</v>
      </c>
      <c r="AD839" s="51" t="s">
        <v>202</v>
      </c>
      <c r="AE839" s="44">
        <f>ROUND((((X838*E838)/1800)*0.13),4)</f>
        <v>1.32E-2</v>
      </c>
      <c r="AF839" s="44">
        <f>ROUND(((Z838+AA838+AB838)*0.13),4)</f>
        <v>8.8000000000000005E-3</v>
      </c>
      <c r="AG839" s="88"/>
      <c r="AH839" s="88"/>
    </row>
    <row r="840" spans="1:34" ht="12.95" customHeight="1" x14ac:dyDescent="0.25">
      <c r="A840" s="89"/>
      <c r="B840" s="67"/>
      <c r="C840" s="55"/>
      <c r="D840" s="55"/>
      <c r="E840" s="52"/>
      <c r="F840" s="63"/>
      <c r="G840" s="52"/>
      <c r="H840" s="52"/>
      <c r="I840" s="52"/>
      <c r="J840" s="52"/>
      <c r="K840" s="52"/>
      <c r="L840" s="59">
        <v>0.51</v>
      </c>
      <c r="M840" s="59">
        <v>0.63</v>
      </c>
      <c r="N840" s="52"/>
      <c r="O840" s="52"/>
      <c r="P840" s="52"/>
      <c r="Q840" s="52"/>
      <c r="R840" s="52"/>
      <c r="S840" s="60">
        <v>0.25</v>
      </c>
      <c r="T840" s="48">
        <f>ROUND((L840*I838+1.3*L840*K838+S840*H838),4)</f>
        <v>186.74250000000001</v>
      </c>
      <c r="U840" s="48">
        <f>ROUND((M840*0.9*I838+1.3*M840*0.9*K838+S840*H838),4)</f>
        <v>205.93729999999999</v>
      </c>
      <c r="V840" s="48">
        <f>ROUND((M840*I838+1.3*M840*K838+S840*H838),4)</f>
        <v>227.1525</v>
      </c>
      <c r="W840" s="48">
        <f>ROUND((L840*J838+1.3*L840*N838+S840*G838),4)</f>
        <v>15.27</v>
      </c>
      <c r="X840" s="48">
        <f>ROUND((M840*0.9*J838+1.3*M840*0.9*N838+S840*G838),4)</f>
        <v>16.809000000000001</v>
      </c>
      <c r="Y840" s="48">
        <f>ROUND((M840*J838+1.3*M840*N838+S840*G838),4)</f>
        <v>18.510000000000002</v>
      </c>
      <c r="Z840" s="49">
        <f>ROUND((P838*T840*F838*O838/1000000),4)</f>
        <v>5.5999999999999999E-3</v>
      </c>
      <c r="AA840" s="49">
        <f>ROUND((Q838*U840*F838*O838/1000000),4)</f>
        <v>0</v>
      </c>
      <c r="AB840" s="49">
        <f>ROUND((R838*V840*F838*O838/1000000),4)</f>
        <v>0</v>
      </c>
      <c r="AC840" s="50" t="s">
        <v>203</v>
      </c>
      <c r="AD840" s="51" t="s">
        <v>204</v>
      </c>
      <c r="AE840" s="44">
        <f>ROUND((((X840*E838)/1800)),4)</f>
        <v>9.2999999999999992E-3</v>
      </c>
      <c r="AF840" s="44">
        <f>ROUND(((Z840+AA840+AB840)),5)</f>
        <v>5.5999999999999999E-3</v>
      </c>
      <c r="AG840" s="88"/>
      <c r="AH840" s="88"/>
    </row>
    <row r="841" spans="1:34" ht="12.95" customHeight="1" x14ac:dyDescent="0.25">
      <c r="A841" s="89"/>
      <c r="B841" s="53"/>
      <c r="C841" s="52"/>
      <c r="D841" s="52"/>
      <c r="E841" s="52"/>
      <c r="F841" s="63"/>
      <c r="G841" s="52"/>
      <c r="H841" s="52"/>
      <c r="I841" s="52"/>
      <c r="J841" s="52"/>
      <c r="K841" s="52"/>
      <c r="L841" s="59">
        <v>1.1399999999999999</v>
      </c>
      <c r="M841" s="59">
        <v>1.37</v>
      </c>
      <c r="N841" s="52"/>
      <c r="O841" s="52"/>
      <c r="P841" s="52"/>
      <c r="Q841" s="52"/>
      <c r="R841" s="52"/>
      <c r="S841" s="61">
        <v>0.79</v>
      </c>
      <c r="T841" s="48">
        <f>ROUND((L841*I838+1.3*L841*K838+S841*H838),4)</f>
        <v>431.29500000000002</v>
      </c>
      <c r="U841" s="48">
        <f>ROUND((M841*0.9*I838+1.3*M841*0.9*K838+S841*H838),4)</f>
        <v>462.61279999999999</v>
      </c>
      <c r="V841" s="48">
        <f>ROUND((M841*I838+1.3*M841*K838+S841*H838),4)</f>
        <v>508.7475</v>
      </c>
      <c r="W841" s="48">
        <f>ROUND((L841*J838+1.3*L841*N838+S841*G838),4)</f>
        <v>35.520000000000003</v>
      </c>
      <c r="X841" s="48">
        <f>ROUND((M841*0.9*J838+1.3*M841*0.9*N838+S841*G838),4)</f>
        <v>38.030999999999999</v>
      </c>
      <c r="Y841" s="48">
        <f>ROUND((M841*J838+1.3*N838+S841*G838),4)</f>
        <v>36.92</v>
      </c>
      <c r="Z841" s="49">
        <f>ROUND((P838*T841*F838*O838/1000000),4)</f>
        <v>1.29E-2</v>
      </c>
      <c r="AA841" s="49">
        <f>ROUND((Q838*U841*F838*O838/1000000),4)</f>
        <v>0</v>
      </c>
      <c r="AB841" s="49">
        <f>ROUND((R838*V841*F838*O838/1000000),4)</f>
        <v>0</v>
      </c>
      <c r="AC841" s="50" t="s">
        <v>205</v>
      </c>
      <c r="AD841" s="51" t="s">
        <v>206</v>
      </c>
      <c r="AE841" s="44">
        <f>ROUND((((X841*E838)/1800)),4)</f>
        <v>2.1100000000000001E-2</v>
      </c>
      <c r="AF841" s="44">
        <f>ROUND(((Z841+AA841+AB841)),4)</f>
        <v>1.29E-2</v>
      </c>
      <c r="AG841" s="88"/>
      <c r="AH841" s="88"/>
    </row>
    <row r="842" spans="1:34" ht="12.95" customHeight="1" x14ac:dyDescent="0.25">
      <c r="A842" s="89"/>
      <c r="B842" s="53"/>
      <c r="C842" s="52"/>
      <c r="D842" s="52"/>
      <c r="E842" s="52"/>
      <c r="F842" s="63"/>
      <c r="G842" s="52"/>
      <c r="H842" s="52"/>
      <c r="I842" s="52"/>
      <c r="J842" s="52"/>
      <c r="K842" s="52"/>
      <c r="L842" s="59">
        <v>0.72</v>
      </c>
      <c r="M842" s="59">
        <v>1.08</v>
      </c>
      <c r="N842" s="52"/>
      <c r="O842" s="52"/>
      <c r="P842" s="52"/>
      <c r="Q842" s="52"/>
      <c r="R842" s="52"/>
      <c r="S842" s="61">
        <v>0.17</v>
      </c>
      <c r="T842" s="48">
        <f>ROUND((L842*I838+1.3*L842*K838+S842*H838),4)</f>
        <v>252.66</v>
      </c>
      <c r="U842" s="48">
        <f>ROUND((M842*0.9*I838+1.3*M842*0.9*K838+S842*H838),4)</f>
        <v>337.52100000000002</v>
      </c>
      <c r="V842" s="48">
        <f>ROUND((M842*I838+1.3*M842*K838+S842*H838),4)</f>
        <v>373.89</v>
      </c>
      <c r="W842" s="48">
        <f>ROUND((L842*J838+1.3*L842*N838+S842*G838),4)</f>
        <v>20.46</v>
      </c>
      <c r="X842" s="48">
        <f>ROUND((M842*0.9*J838+1.3*M842*0.9*N838+S842*G838),4)</f>
        <v>27.263999999999999</v>
      </c>
      <c r="Y842" s="48">
        <f>ROUND((M842*J838+1.3*M842*N838+S842*G838),4)</f>
        <v>30.18</v>
      </c>
      <c r="Z842" s="49">
        <f>ROUND((P838*T842*F838*O838/1000000),4)</f>
        <v>7.6E-3</v>
      </c>
      <c r="AA842" s="49">
        <f>ROUND((Q838*U842*F838*O838/1000000),4)</f>
        <v>0</v>
      </c>
      <c r="AB842" s="49">
        <f>ROUND((R838*V842*F838*O838/1000000),4)</f>
        <v>0</v>
      </c>
      <c r="AC842" s="50" t="s">
        <v>250</v>
      </c>
      <c r="AD842" s="51" t="s">
        <v>208</v>
      </c>
      <c r="AE842" s="44">
        <f>ROUND((((X842*E838)/1800)),4)</f>
        <v>1.5100000000000001E-2</v>
      </c>
      <c r="AF842" s="44">
        <f>ROUND(((Z842+AA842+AB842)),4)</f>
        <v>7.6E-3</v>
      </c>
      <c r="AG842" s="88"/>
      <c r="AH842" s="88"/>
    </row>
    <row r="843" spans="1:34" ht="12.95" customHeight="1" x14ac:dyDescent="0.25">
      <c r="A843" s="89"/>
      <c r="B843" s="62"/>
      <c r="C843" s="56"/>
      <c r="D843" s="56"/>
      <c r="E843" s="56"/>
      <c r="F843" s="66"/>
      <c r="G843" s="56"/>
      <c r="H843" s="56"/>
      <c r="I843" s="56"/>
      <c r="J843" s="56"/>
      <c r="K843" s="56"/>
      <c r="L843" s="59">
        <v>3.37</v>
      </c>
      <c r="M843" s="59">
        <v>4.1100000000000003</v>
      </c>
      <c r="N843" s="56"/>
      <c r="O843" s="56"/>
      <c r="P843" s="56"/>
      <c r="Q843" s="56"/>
      <c r="R843" s="56"/>
      <c r="S843" s="61">
        <v>6.31</v>
      </c>
      <c r="T843" s="48">
        <f>ROUND((L843*I838+1.3*L843*K838+S843*H838),4)</f>
        <v>1513.4475</v>
      </c>
      <c r="U843" s="48">
        <f>ROUND((M843*0.9*I838+1.3*M843*0.9*K838+S843*H838),4)</f>
        <v>1624.2383</v>
      </c>
      <c r="V843" s="48">
        <f>ROUND((M843*I838+1.3*M843*K838+S843*H838),4)</f>
        <v>1762.6424999999999</v>
      </c>
      <c r="W843" s="48">
        <f>ROUND((L843*J838+1.3*L843*N838+S843*G838),4)</f>
        <v>128.85</v>
      </c>
      <c r="X843" s="48">
        <f>ROUND((M843*0.9*J838+1.3*M843*0.9*N838+S843*G838),4)</f>
        <v>137.733</v>
      </c>
      <c r="Y843" s="48">
        <f>ROUND((M843*J838+1.3*M843*N838+S843*G838),4)</f>
        <v>148.83000000000001</v>
      </c>
      <c r="Z843" s="49">
        <f>ROUND((P838*T843*F838*O838/1000000),4)</f>
        <v>4.5400000000000003E-2</v>
      </c>
      <c r="AA843" s="49">
        <f>ROUND((Q838*U843*F838*O838/1000000),4)</f>
        <v>0</v>
      </c>
      <c r="AB843" s="49">
        <f>ROUND((R838*V843*F838*O838/1000000),4)</f>
        <v>0</v>
      </c>
      <c r="AC843" s="50" t="s">
        <v>170</v>
      </c>
      <c r="AD843" s="51" t="s">
        <v>162</v>
      </c>
      <c r="AE843" s="44">
        <f>ROUND((((X843*E838)/1800)),4)</f>
        <v>7.6499999999999999E-2</v>
      </c>
      <c r="AF843" s="44">
        <f>ROUND(((Z843+AA843+AB843)),4)</f>
        <v>4.5400000000000003E-2</v>
      </c>
      <c r="AG843" s="88"/>
      <c r="AH843" s="88"/>
    </row>
    <row r="844" spans="1:34" ht="12.95" customHeight="1" x14ac:dyDescent="0.25">
      <c r="A844" s="52"/>
      <c r="B844" s="67" t="s">
        <v>220</v>
      </c>
      <c r="C844" s="46">
        <v>7</v>
      </c>
      <c r="D844" s="45" t="s">
        <v>217</v>
      </c>
      <c r="E844" s="45">
        <v>1</v>
      </c>
      <c r="F844" s="45">
        <v>1</v>
      </c>
      <c r="G844" s="45">
        <v>6</v>
      </c>
      <c r="H844" s="45">
        <v>60</v>
      </c>
      <c r="I844" s="45">
        <f>(8-1-0.75*2)*60*F844-K844-8*0.12*60</f>
        <v>57.900000000000006</v>
      </c>
      <c r="J844" s="45">
        <v>14</v>
      </c>
      <c r="K844" s="45">
        <f>(8-1-0.75*2)*0.65*60*F844</f>
        <v>214.5</v>
      </c>
      <c r="L844" s="48">
        <v>10.16</v>
      </c>
      <c r="M844" s="48">
        <v>10.16</v>
      </c>
      <c r="N844" s="45">
        <v>10</v>
      </c>
      <c r="O844" s="45">
        <f>E844/F844</f>
        <v>1</v>
      </c>
      <c r="P844" s="45">
        <v>15</v>
      </c>
      <c r="Q844" s="45">
        <v>15</v>
      </c>
      <c r="R844" s="47">
        <v>0</v>
      </c>
      <c r="S844" s="47">
        <v>1.99</v>
      </c>
      <c r="T844" s="48">
        <f>ROUND((L844*I844+1.3*L844*K844+S844*H844),4)</f>
        <v>3540.78</v>
      </c>
      <c r="U844" s="48">
        <f>ROUND((M844*I844+1.3*M844*K844+S844*H844),4)</f>
        <v>3540.78</v>
      </c>
      <c r="V844" s="48">
        <f>ROUND((M844*I844+1.3*M844*K844+S844*H844),4)</f>
        <v>3540.78</v>
      </c>
      <c r="W844" s="48">
        <f>ROUND((L844*J844+1.3*L844*N844+S844*G844),4)</f>
        <v>286.26</v>
      </c>
      <c r="X844" s="48">
        <f>ROUND((M844*J844+1.3*M844*N844+S844*G844),4)</f>
        <v>286.26</v>
      </c>
      <c r="Y844" s="48">
        <f>ROUND((M844*J844+1.3*M844*N844+S844*G844),4)</f>
        <v>286.26</v>
      </c>
      <c r="Z844" s="49">
        <f>ROUND((P844*T844*F844*O844/1000000),4)</f>
        <v>5.3100000000000001E-2</v>
      </c>
      <c r="AA844" s="49">
        <f>ROUND((Q844*U844*F844*O844/1000000),4)</f>
        <v>5.3100000000000001E-2</v>
      </c>
      <c r="AB844" s="49">
        <f>ROUND((R844*V844*F844*O844/1000000),4)</f>
        <v>0</v>
      </c>
      <c r="AC844" s="50" t="s">
        <v>200</v>
      </c>
      <c r="AD844" s="51" t="s">
        <v>153</v>
      </c>
      <c r="AE844" s="44">
        <f>ROUND((((X844*E844)/1800)*0.8),4)</f>
        <v>0.12720000000000001</v>
      </c>
      <c r="AF844" s="44">
        <f>ROUND(((Z844+AA844+AB844)*0.8),4)</f>
        <v>8.5000000000000006E-2</v>
      </c>
    </row>
    <row r="845" spans="1:34" ht="12.95" customHeight="1" x14ac:dyDescent="0.25">
      <c r="A845" s="52"/>
      <c r="B845" s="53" t="s">
        <v>221</v>
      </c>
      <c r="C845" s="52"/>
      <c r="D845" s="52"/>
      <c r="E845" s="52"/>
      <c r="F845" s="63"/>
      <c r="G845" s="52"/>
      <c r="H845" s="52"/>
      <c r="I845" s="52"/>
      <c r="J845" s="52"/>
      <c r="K845" s="52"/>
      <c r="L845" s="56"/>
      <c r="M845" s="56"/>
      <c r="N845" s="52"/>
      <c r="O845" s="52"/>
      <c r="P845" s="52"/>
      <c r="Q845" s="52"/>
      <c r="R845" s="52"/>
      <c r="S845" s="57"/>
      <c r="T845" s="54"/>
      <c r="U845" s="54"/>
      <c r="V845" s="54"/>
      <c r="W845" s="54"/>
      <c r="X845" s="54"/>
      <c r="Y845" s="54"/>
      <c r="Z845" s="54"/>
      <c r="AA845" s="54"/>
      <c r="AB845" s="54"/>
      <c r="AC845" s="50" t="s">
        <v>201</v>
      </c>
      <c r="AD845" s="51" t="s">
        <v>202</v>
      </c>
      <c r="AE845" s="44">
        <f>ROUND((((X844*E844)/1800)*0.13),4)</f>
        <v>2.07E-2</v>
      </c>
      <c r="AF845" s="44">
        <f>ROUND(((Z844+AA844+AB844)*0.13),4)</f>
        <v>1.38E-2</v>
      </c>
    </row>
    <row r="846" spans="1:34" ht="12.95" customHeight="1" x14ac:dyDescent="0.25">
      <c r="A846" s="52"/>
      <c r="B846" s="88"/>
      <c r="C846" s="55"/>
      <c r="D846" s="55"/>
      <c r="E846" s="52"/>
      <c r="F846" s="63"/>
      <c r="G846" s="52"/>
      <c r="H846" s="52"/>
      <c r="I846" s="52"/>
      <c r="J846" s="52"/>
      <c r="K846" s="52"/>
      <c r="L846" s="59">
        <v>0.8</v>
      </c>
      <c r="M846" s="59">
        <v>0.98</v>
      </c>
      <c r="N846" s="52"/>
      <c r="O846" s="52"/>
      <c r="P846" s="52"/>
      <c r="Q846" s="52"/>
      <c r="R846" s="52"/>
      <c r="S846" s="60">
        <v>0.39</v>
      </c>
      <c r="T846" s="48">
        <f>ROUND((L846*I844+1.3*L846*K844+S846*H844),4)</f>
        <v>292.8</v>
      </c>
      <c r="U846" s="48">
        <f>ROUND((M846*0.9*I844+1.3*M846*0.9*K844+S846*H844),4)</f>
        <v>320.4135</v>
      </c>
      <c r="V846" s="48">
        <f>ROUND((M846*I844+1.3*M846*K844+S846*H844),4)</f>
        <v>353.41500000000002</v>
      </c>
      <c r="W846" s="48">
        <f>ROUND((L846*J844+1.3*L846*N844+S846*G844),4)</f>
        <v>23.94</v>
      </c>
      <c r="X846" s="48">
        <f>ROUND((M846*0.9*J844+1.3*M846*0.9*N844+S846*G844),4)</f>
        <v>26.154</v>
      </c>
      <c r="Y846" s="48">
        <f>ROUND((M846*J844+1.3*M846*N844+S846*G844),4)</f>
        <v>28.8</v>
      </c>
      <c r="Z846" s="49">
        <f>ROUND((P844*T846*F844*O844/1000000),4)</f>
        <v>4.4000000000000003E-3</v>
      </c>
      <c r="AA846" s="49">
        <f>ROUND((Q844*U846*F844*O844/1000000),4)</f>
        <v>4.7999999999999996E-3</v>
      </c>
      <c r="AB846" s="49">
        <f>ROUND((R844*V846*F844*O844/1000000),4)</f>
        <v>0</v>
      </c>
      <c r="AC846" s="50" t="s">
        <v>203</v>
      </c>
      <c r="AD846" s="51" t="s">
        <v>204</v>
      </c>
      <c r="AE846" s="44">
        <f>ROUND((((X846*E844)/1800)),4)</f>
        <v>1.4500000000000001E-2</v>
      </c>
      <c r="AF846" s="44">
        <f>ROUND(((Z846+AA846+AB846)),5)</f>
        <v>9.1999999999999998E-3</v>
      </c>
    </row>
    <row r="847" spans="1:34" ht="12.95" customHeight="1" x14ac:dyDescent="0.25">
      <c r="A847" s="52"/>
      <c r="B847" s="88"/>
      <c r="C847" s="52"/>
      <c r="D847" s="52"/>
      <c r="E847" s="52"/>
      <c r="F847" s="63"/>
      <c r="G847" s="52"/>
      <c r="H847" s="52"/>
      <c r="I847" s="52"/>
      <c r="J847" s="52"/>
      <c r="K847" s="52"/>
      <c r="L847" s="59">
        <v>1.79</v>
      </c>
      <c r="M847" s="59">
        <v>2.15</v>
      </c>
      <c r="N847" s="52"/>
      <c r="O847" s="52"/>
      <c r="P847" s="52"/>
      <c r="Q847" s="52"/>
      <c r="R847" s="52"/>
      <c r="S847" s="61">
        <v>1.24</v>
      </c>
      <c r="T847" s="48">
        <f>ROUND((L847*I844+1.3*L847*K844+S847*H844),4)</f>
        <v>677.1825</v>
      </c>
      <c r="U847" s="48">
        <f>ROUND((M847*0.9*I844+1.3*M847*0.9*K844+S847*H844),4)</f>
        <v>726.01130000000001</v>
      </c>
      <c r="V847" s="48">
        <f>ROUND((M847*I844+1.3*M847*K844+S847*H844),4)</f>
        <v>798.41250000000002</v>
      </c>
      <c r="W847" s="48">
        <f>ROUND((L847*J844+1.3*L847*N844+S847*G844),4)</f>
        <v>55.77</v>
      </c>
      <c r="X847" s="48">
        <f>ROUND((M847*0.9*J844+1.3*M847*0.9*N844+S847*G844),4)</f>
        <v>59.685000000000002</v>
      </c>
      <c r="Y847" s="48">
        <f>ROUND((M847*J844+1.3*N844+S847*G844),4)</f>
        <v>50.54</v>
      </c>
      <c r="Z847" s="49">
        <f>ROUND((P844*T847*F844*O844/1000000),4)</f>
        <v>1.0200000000000001E-2</v>
      </c>
      <c r="AA847" s="49">
        <f>ROUND((Q844*U847*F844*O844/1000000),4)</f>
        <v>1.09E-2</v>
      </c>
      <c r="AB847" s="49">
        <f>ROUND((R844*V847*F844*O844/1000000),4)</f>
        <v>0</v>
      </c>
      <c r="AC847" s="50" t="s">
        <v>205</v>
      </c>
      <c r="AD847" s="51" t="s">
        <v>206</v>
      </c>
      <c r="AE847" s="44">
        <f>ROUND((((X847*E844)/1800)),4)</f>
        <v>3.32E-2</v>
      </c>
      <c r="AF847" s="44">
        <f>ROUND(((Z847+AA847+AB847)),4)</f>
        <v>2.1100000000000001E-2</v>
      </c>
    </row>
    <row r="848" spans="1:34" ht="12.95" customHeight="1" x14ac:dyDescent="0.25">
      <c r="A848" s="52"/>
      <c r="B848" s="53"/>
      <c r="C848" s="52"/>
      <c r="D848" s="52"/>
      <c r="E848" s="52"/>
      <c r="F848" s="63"/>
      <c r="G848" s="52"/>
      <c r="H848" s="52"/>
      <c r="I848" s="52"/>
      <c r="J848" s="52"/>
      <c r="K848" s="52"/>
      <c r="L848" s="59">
        <v>1.1299999999999999</v>
      </c>
      <c r="M848" s="59">
        <v>1.7</v>
      </c>
      <c r="N848" s="52"/>
      <c r="O848" s="52"/>
      <c r="P848" s="52"/>
      <c r="Q848" s="52"/>
      <c r="R848" s="52"/>
      <c r="S848" s="61">
        <v>0.26</v>
      </c>
      <c r="T848" s="48">
        <f>ROUND((L848*I844+1.3*L848*K844+S848*H844),4)</f>
        <v>396.1275</v>
      </c>
      <c r="U848" s="48">
        <f>ROUND((M848*0.9*I844+1.3*M848*0.9*K844+S848*H844),4)</f>
        <v>530.82749999999999</v>
      </c>
      <c r="V848" s="48">
        <f>ROUND((M848*I844+1.3*M848*K844+S848*H844),4)</f>
        <v>588.07500000000005</v>
      </c>
      <c r="W848" s="48">
        <f>ROUND((L848*J844+1.3*L848*N844+S848*G844),4)</f>
        <v>32.07</v>
      </c>
      <c r="X848" s="48">
        <f>ROUND((M848*0.9*J844+1.3*M848*0.9*N844+S848*G844),4)</f>
        <v>42.87</v>
      </c>
      <c r="Y848" s="48">
        <f>ROUND((M848*J844+1.3*M848*N844+S848*G844),4)</f>
        <v>47.46</v>
      </c>
      <c r="Z848" s="49">
        <f>ROUND((P844*T848*F844*O844/1000000),4)</f>
        <v>5.8999999999999999E-3</v>
      </c>
      <c r="AA848" s="49">
        <f>ROUND((Q844*U848*F844*O844/1000000),4)</f>
        <v>8.0000000000000002E-3</v>
      </c>
      <c r="AB848" s="49">
        <f>ROUND((R844*V848*F844*O844/1000000),4)</f>
        <v>0</v>
      </c>
      <c r="AC848" s="50" t="s">
        <v>250</v>
      </c>
      <c r="AD848" s="51" t="s">
        <v>208</v>
      </c>
      <c r="AE848" s="44">
        <f>ROUND((((X848*E844)/1800)),4)</f>
        <v>2.3800000000000002E-2</v>
      </c>
      <c r="AF848" s="44">
        <f>ROUND(((Z848+AA848+AB848)),4)</f>
        <v>1.3899999999999999E-2</v>
      </c>
    </row>
    <row r="849" spans="1:34" ht="12.95" customHeight="1" x14ac:dyDescent="0.25">
      <c r="A849" s="52"/>
      <c r="B849" s="62"/>
      <c r="C849" s="56"/>
      <c r="D849" s="56"/>
      <c r="E849" s="56"/>
      <c r="F849" s="66"/>
      <c r="G849" s="56"/>
      <c r="H849" s="56"/>
      <c r="I849" s="56"/>
      <c r="J849" s="56"/>
      <c r="K849" s="56"/>
      <c r="L849" s="59">
        <v>5.3</v>
      </c>
      <c r="M849" s="59">
        <v>6.47</v>
      </c>
      <c r="N849" s="56"/>
      <c r="O849" s="56"/>
      <c r="P849" s="56"/>
      <c r="Q849" s="56"/>
      <c r="R849" s="56"/>
      <c r="S849" s="61">
        <v>9.92</v>
      </c>
      <c r="T849" s="48">
        <f>ROUND((L849*I844+1.3*L849*K844+S849*H844),4)</f>
        <v>2379.9749999999999</v>
      </c>
      <c r="U849" s="48">
        <f>ROUND((M849*0.9*I844+1.3*M849*0.9*K844+S849*H844),4)</f>
        <v>2556.0953</v>
      </c>
      <c r="V849" s="48">
        <f>ROUND((M849*I844+1.3*M849*K844+S849*H844),4)</f>
        <v>2773.9724999999999</v>
      </c>
      <c r="W849" s="48">
        <f>ROUND((L849*J844+1.3*L849*N844+S849*G844),4)</f>
        <v>202.62</v>
      </c>
      <c r="X849" s="48">
        <f>ROUND((M849*0.9*J844+1.3*M849*0.9*N844+S849*G844),4)</f>
        <v>216.74100000000001</v>
      </c>
      <c r="Y849" s="48">
        <f>ROUND((M849*J844+1.3*M849*N844+S849*G844),4)</f>
        <v>234.21</v>
      </c>
      <c r="Z849" s="49">
        <f>ROUND((P844*T849*F844*O844/1000000),4)</f>
        <v>3.5700000000000003E-2</v>
      </c>
      <c r="AA849" s="49">
        <f>ROUND((Q844*U849*F844*O844/1000000),4)</f>
        <v>3.8300000000000001E-2</v>
      </c>
      <c r="AB849" s="49">
        <f>ROUND((R844*V849*F844*O844/1000000),4)</f>
        <v>0</v>
      </c>
      <c r="AC849" s="50" t="s">
        <v>170</v>
      </c>
      <c r="AD849" s="51" t="s">
        <v>162</v>
      </c>
      <c r="AE849" s="44">
        <f>ROUND((((X849*E844)/1800)),4)</f>
        <v>0.12039999999999999</v>
      </c>
      <c r="AF849" s="44">
        <f>ROUND(((Z849+AA849+AB849)),4)</f>
        <v>7.3999999999999996E-2</v>
      </c>
    </row>
    <row r="850" spans="1:34" ht="12.95" customHeight="1" x14ac:dyDescent="0.25">
      <c r="A850" s="52"/>
      <c r="B850" s="67" t="s">
        <v>242</v>
      </c>
      <c r="C850" s="46">
        <v>3</v>
      </c>
      <c r="D850" s="45" t="s">
        <v>228</v>
      </c>
      <c r="E850" s="45">
        <v>1</v>
      </c>
      <c r="F850" s="45">
        <v>1</v>
      </c>
      <c r="G850" s="45">
        <v>6</v>
      </c>
      <c r="H850" s="45">
        <v>60</v>
      </c>
      <c r="I850" s="45">
        <f>(8-1-0.75*2)*60*F850-K850-8*0.12*60</f>
        <v>57.900000000000006</v>
      </c>
      <c r="J850" s="45">
        <v>14</v>
      </c>
      <c r="K850" s="45">
        <f>(8-1-0.75*2)*0.65*60*F850</f>
        <v>214.5</v>
      </c>
      <c r="L850" s="48">
        <v>1.49</v>
      </c>
      <c r="M850" s="48">
        <v>1.49</v>
      </c>
      <c r="N850" s="45">
        <v>10</v>
      </c>
      <c r="O850" s="45">
        <f>E850/F850</f>
        <v>1</v>
      </c>
      <c r="P850" s="45">
        <v>180</v>
      </c>
      <c r="Q850" s="45">
        <v>90</v>
      </c>
      <c r="R850" s="47">
        <v>90</v>
      </c>
      <c r="S850" s="47">
        <v>0.28999999999999998</v>
      </c>
      <c r="T850" s="48">
        <f>ROUND((L850*I850+1.3*L850*K850+S850*H850),4)</f>
        <v>519.15750000000003</v>
      </c>
      <c r="U850" s="48">
        <f>ROUND((M850*I850+1.3*M850*K850+S850*H850),4)</f>
        <v>519.15750000000003</v>
      </c>
      <c r="V850" s="48">
        <f>ROUND((M850*I850+1.3*M850*K850+S850*H850),4)</f>
        <v>519.15750000000003</v>
      </c>
      <c r="W850" s="48">
        <f>ROUND((L850*J850+1.3*L850*N850+S850*G850),4)</f>
        <v>41.97</v>
      </c>
      <c r="X850" s="48">
        <f>ROUND((M850*J850+1.3*M850*N850+S850*G850),4)</f>
        <v>41.97</v>
      </c>
      <c r="Y850" s="48">
        <f>ROUND((M850*J850+1.3*M850*N850+S850*G850),4)</f>
        <v>41.97</v>
      </c>
      <c r="Z850" s="49">
        <f>ROUND((P850*T850*F850*O850/1000000),4)</f>
        <v>9.3399999999999997E-2</v>
      </c>
      <c r="AA850" s="49">
        <f>ROUND((Q850*U850*F850*O850/1000000),4)</f>
        <v>4.6699999999999998E-2</v>
      </c>
      <c r="AB850" s="49">
        <f>ROUND((R850*V850*F850*O850/1000000),4)</f>
        <v>4.6699999999999998E-2</v>
      </c>
      <c r="AC850" s="50" t="s">
        <v>200</v>
      </c>
      <c r="AD850" s="51" t="s">
        <v>153</v>
      </c>
      <c r="AE850" s="44">
        <f>ROUND((((X850*E850)/1800)*0.8),4)</f>
        <v>1.8700000000000001E-2</v>
      </c>
      <c r="AF850" s="44">
        <f>ROUND(((Z850+AA850+AB850)*0.8),4)</f>
        <v>0.14940000000000001</v>
      </c>
      <c r="AG850" s="88"/>
      <c r="AH850" s="88"/>
    </row>
    <row r="851" spans="1:34" ht="12.95" customHeight="1" x14ac:dyDescent="0.25">
      <c r="A851" s="52"/>
      <c r="B851" s="53" t="s">
        <v>243</v>
      </c>
      <c r="C851" s="52"/>
      <c r="D851" s="52"/>
      <c r="E851" s="52"/>
      <c r="F851" s="63"/>
      <c r="G851" s="52"/>
      <c r="H851" s="52"/>
      <c r="I851" s="52"/>
      <c r="J851" s="52"/>
      <c r="K851" s="52"/>
      <c r="L851" s="56"/>
      <c r="M851" s="56"/>
      <c r="N851" s="52"/>
      <c r="O851" s="52"/>
      <c r="P851" s="52"/>
      <c r="Q851" s="52"/>
      <c r="R851" s="52"/>
      <c r="S851" s="57"/>
      <c r="T851" s="54"/>
      <c r="U851" s="54"/>
      <c r="V851" s="54"/>
      <c r="W851" s="54"/>
      <c r="X851" s="54"/>
      <c r="Y851" s="54"/>
      <c r="Z851" s="54"/>
      <c r="AA851" s="54"/>
      <c r="AB851" s="54"/>
      <c r="AC851" s="50" t="s">
        <v>201</v>
      </c>
      <c r="AD851" s="51" t="s">
        <v>202</v>
      </c>
      <c r="AE851" s="44">
        <f>ROUND((((X850*E850)/1800)*0.13),4)</f>
        <v>3.0000000000000001E-3</v>
      </c>
      <c r="AF851" s="44">
        <f>ROUND(((Z850+AA850+AB850)*0.13),4)</f>
        <v>2.4299999999999999E-2</v>
      </c>
      <c r="AG851" s="88"/>
      <c r="AH851" s="88"/>
    </row>
    <row r="852" spans="1:34" ht="12.95" customHeight="1" x14ac:dyDescent="0.25">
      <c r="A852" s="52"/>
      <c r="B852" s="88"/>
      <c r="C852" s="55"/>
      <c r="D852" s="55"/>
      <c r="E852" s="52"/>
      <c r="F852" s="63"/>
      <c r="G852" s="52"/>
      <c r="H852" s="52"/>
      <c r="I852" s="52"/>
      <c r="J852" s="52"/>
      <c r="K852" s="52"/>
      <c r="L852" s="59">
        <v>0.12</v>
      </c>
      <c r="M852" s="59">
        <v>0.15</v>
      </c>
      <c r="N852" s="52"/>
      <c r="O852" s="52"/>
      <c r="P852" s="52"/>
      <c r="Q852" s="52"/>
      <c r="R852" s="52"/>
      <c r="S852" s="60">
        <v>5.8000000000000003E-2</v>
      </c>
      <c r="T852" s="48">
        <f>ROUND((L852*I850+1.3*L852*K850+S852*H850),4)</f>
        <v>43.89</v>
      </c>
      <c r="U852" s="48">
        <f>ROUND((M852*0.9*I850+1.3*M852*0.9*K850+S852*H850),4)</f>
        <v>48.941299999999998</v>
      </c>
      <c r="V852" s="48">
        <f>ROUND((M852*I850+1.3*M852*K850+S852*H850),4)</f>
        <v>53.9925</v>
      </c>
      <c r="W852" s="48">
        <f>ROUND((L852*J850+1.3*L852*N850+S852*G850),4)</f>
        <v>3.5880000000000001</v>
      </c>
      <c r="X852" s="48">
        <f>ROUND((M852*0.9*J850+1.3*M852*0.9*N850+S852*G850),4)</f>
        <v>3.9929999999999999</v>
      </c>
      <c r="Y852" s="48">
        <f>ROUND((M852*J850+1.3*M852*N850+S852*G850),4)</f>
        <v>4.3979999999999997</v>
      </c>
      <c r="Z852" s="49">
        <f>ROUND((P850*T852*F850*O850/1000000),4)</f>
        <v>7.9000000000000008E-3</v>
      </c>
      <c r="AA852" s="49">
        <f>ROUND((Q850*U852*F850*O850/1000000),4)</f>
        <v>4.4000000000000003E-3</v>
      </c>
      <c r="AB852" s="49">
        <f>ROUND((R850*V852*F850*O850/1000000),4)</f>
        <v>4.8999999999999998E-3</v>
      </c>
      <c r="AC852" s="50" t="s">
        <v>203</v>
      </c>
      <c r="AD852" s="51" t="s">
        <v>204</v>
      </c>
      <c r="AE852" s="44">
        <f>ROUND((((X852*E850)/1800)),4)</f>
        <v>2.2000000000000001E-3</v>
      </c>
      <c r="AF852" s="44">
        <f>ROUND(((Z852+AA852+AB852)),5)</f>
        <v>1.72E-2</v>
      </c>
      <c r="AG852" s="88"/>
      <c r="AH852" s="88"/>
    </row>
    <row r="853" spans="1:34" ht="12.95" customHeight="1" x14ac:dyDescent="0.25">
      <c r="A853" s="52"/>
      <c r="B853" s="88"/>
      <c r="C853" s="52"/>
      <c r="D853" s="52"/>
      <c r="E853" s="52"/>
      <c r="F853" s="63"/>
      <c r="G853" s="52"/>
      <c r="H853" s="52"/>
      <c r="I853" s="52"/>
      <c r="J853" s="52"/>
      <c r="K853" s="52"/>
      <c r="L853" s="59">
        <v>0.26</v>
      </c>
      <c r="M853" s="59">
        <v>0.31</v>
      </c>
      <c r="N853" s="52"/>
      <c r="O853" s="52"/>
      <c r="P853" s="52"/>
      <c r="Q853" s="52"/>
      <c r="R853" s="52"/>
      <c r="S853" s="61">
        <v>0.18</v>
      </c>
      <c r="T853" s="48">
        <f>ROUND((L853*I850+1.3*L853*K850+S853*H850),4)</f>
        <v>98.355000000000004</v>
      </c>
      <c r="U853" s="48">
        <f>ROUND((M853*0.9*I850+1.3*M853*0.9*K850+S853*H850),4)</f>
        <v>104.7533</v>
      </c>
      <c r="V853" s="48">
        <f>ROUND((M853*I850+1.3*M853*K850+S853*H850),4)</f>
        <v>115.1925</v>
      </c>
      <c r="W853" s="48">
        <f>ROUND((L853*J850+1.3*L853*N850+S853*G850),4)</f>
        <v>8.1</v>
      </c>
      <c r="X853" s="48">
        <f>ROUND((M853*0.9*J850+1.3*M853*0.9*N850+S853*G850),4)</f>
        <v>8.6129999999999995</v>
      </c>
      <c r="Y853" s="48">
        <f>ROUND((M853*J850+1.3*N850+S853*G850),4)</f>
        <v>18.420000000000002</v>
      </c>
      <c r="Z853" s="49">
        <f>ROUND((P850*T853*F850*O850/1000000),4)</f>
        <v>1.77E-2</v>
      </c>
      <c r="AA853" s="49">
        <f>ROUND((Q850*U853*F850*O850/1000000),4)</f>
        <v>9.4000000000000004E-3</v>
      </c>
      <c r="AB853" s="49">
        <f>ROUND((R850*V853*F850*O850/1000000),4)</f>
        <v>1.04E-2</v>
      </c>
      <c r="AC853" s="50" t="s">
        <v>205</v>
      </c>
      <c r="AD853" s="51" t="s">
        <v>206</v>
      </c>
      <c r="AE853" s="44">
        <f>ROUND((((X853*E850)/1800)),4)</f>
        <v>4.7999999999999996E-3</v>
      </c>
      <c r="AF853" s="44">
        <f>ROUND(((Z853+AA853+AB853)),4)</f>
        <v>3.7499999999999999E-2</v>
      </c>
      <c r="AG853" s="88"/>
      <c r="AH853" s="88"/>
    </row>
    <row r="854" spans="1:34" ht="12.95" customHeight="1" x14ac:dyDescent="0.25">
      <c r="A854" s="52"/>
      <c r="B854" s="53"/>
      <c r="C854" s="52"/>
      <c r="D854" s="52"/>
      <c r="E854" s="52"/>
      <c r="F854" s="63"/>
      <c r="G854" s="52"/>
      <c r="H854" s="52"/>
      <c r="I854" s="52"/>
      <c r="J854" s="52"/>
      <c r="K854" s="52"/>
      <c r="L854" s="59">
        <v>0.17</v>
      </c>
      <c r="M854" s="59">
        <v>0.25</v>
      </c>
      <c r="N854" s="52"/>
      <c r="O854" s="52"/>
      <c r="P854" s="52"/>
      <c r="Q854" s="52"/>
      <c r="R854" s="52"/>
      <c r="S854" s="61">
        <v>0.04</v>
      </c>
      <c r="T854" s="48">
        <f>ROUND((L854*I850+1.3*L854*K850+S854*H850),4)</f>
        <v>59.647500000000001</v>
      </c>
      <c r="U854" s="48">
        <f>ROUND((M854*0.9*I850+1.3*M854*0.9*K850+S854*H850),4)</f>
        <v>78.168800000000005</v>
      </c>
      <c r="V854" s="48">
        <f>ROUND((M854*I850+1.3*M854*K850+S854*H850),4)</f>
        <v>86.587500000000006</v>
      </c>
      <c r="W854" s="48">
        <f>ROUND((L854*J850+1.3*L854*N850+S854*G850),4)</f>
        <v>4.83</v>
      </c>
      <c r="X854" s="48">
        <f>ROUND((M854*0.9*J850+1.3*M854*0.9*N850+S854*G850),4)</f>
        <v>6.3150000000000004</v>
      </c>
      <c r="Y854" s="48">
        <f>ROUND((M854*J850+1.3*M854*N850+S854*G850),4)</f>
        <v>6.99</v>
      </c>
      <c r="Z854" s="49">
        <f>ROUND((P850*T854*F850*O850/1000000),4)</f>
        <v>1.0699999999999999E-2</v>
      </c>
      <c r="AA854" s="49">
        <f>ROUND((Q850*U854*F850*O850/1000000),4)</f>
        <v>7.0000000000000001E-3</v>
      </c>
      <c r="AB854" s="49">
        <f>ROUND((R850*V854*F850*O850/1000000),4)</f>
        <v>7.7999999999999996E-3</v>
      </c>
      <c r="AC854" s="50" t="s">
        <v>250</v>
      </c>
      <c r="AD854" s="51" t="s">
        <v>208</v>
      </c>
      <c r="AE854" s="44">
        <f>ROUND((((X854*E850)/1800)),4)</f>
        <v>3.5000000000000001E-3</v>
      </c>
      <c r="AF854" s="44">
        <f>ROUND(((Z854+AA854+AB854)),4)</f>
        <v>2.5499999999999998E-2</v>
      </c>
      <c r="AG854" s="88"/>
      <c r="AH854" s="88"/>
    </row>
    <row r="855" spans="1:34" ht="12.95" customHeight="1" x14ac:dyDescent="0.25">
      <c r="A855" s="56"/>
      <c r="B855" s="62"/>
      <c r="C855" s="56"/>
      <c r="D855" s="56"/>
      <c r="E855" s="56"/>
      <c r="F855" s="66"/>
      <c r="G855" s="56"/>
      <c r="H855" s="56"/>
      <c r="I855" s="56"/>
      <c r="J855" s="56"/>
      <c r="K855" s="56"/>
      <c r="L855" s="59">
        <v>0.77</v>
      </c>
      <c r="M855" s="59">
        <v>0.94</v>
      </c>
      <c r="N855" s="56"/>
      <c r="O855" s="56"/>
      <c r="P855" s="56"/>
      <c r="Q855" s="56"/>
      <c r="R855" s="56"/>
      <c r="S855" s="61">
        <v>1.44</v>
      </c>
      <c r="T855" s="48">
        <f>ROUND((L855*I850+1.3*L855*K850+S855*H850),4)</f>
        <v>345.69749999999999</v>
      </c>
      <c r="U855" s="48">
        <f>ROUND((M855*0.9*I850+1.3*M855*0.9*K850+S855*H850),4)</f>
        <v>371.29050000000001</v>
      </c>
      <c r="V855" s="48">
        <f>ROUND((M855*I850+1.3*M855*K850+S855*H850),4)</f>
        <v>402.94499999999999</v>
      </c>
      <c r="W855" s="48">
        <f>ROUND((L855*J850+1.3*L855*N850+S855*G850),4)</f>
        <v>29.43</v>
      </c>
      <c r="X855" s="48">
        <f>ROUND((M855*0.9*J850+1.3*M855*0.9*N850+S855*G850),4)</f>
        <v>31.481999999999999</v>
      </c>
      <c r="Y855" s="48">
        <f>ROUND((M855*J850+1.3*M855*N850+S855*G850),4)</f>
        <v>34.020000000000003</v>
      </c>
      <c r="Z855" s="49">
        <f>ROUND((P850*T855*F850*O850/1000000),4)</f>
        <v>6.2199999999999998E-2</v>
      </c>
      <c r="AA855" s="49">
        <f>ROUND((Q850*U855*F850*O850/1000000),4)</f>
        <v>3.3399999999999999E-2</v>
      </c>
      <c r="AB855" s="49">
        <f>ROUND((R850*V855*F850*O850/1000000),4)</f>
        <v>3.6299999999999999E-2</v>
      </c>
      <c r="AC855" s="50" t="s">
        <v>170</v>
      </c>
      <c r="AD855" s="51" t="s">
        <v>162</v>
      </c>
      <c r="AE855" s="44">
        <f>ROUND((((X855*E850)/1800)),4)</f>
        <v>1.7500000000000002E-2</v>
      </c>
      <c r="AF855" s="44">
        <f>ROUND(((Z855+AA855+AB855)),4)</f>
        <v>0.13189999999999999</v>
      </c>
      <c r="AG855" s="87"/>
      <c r="AH855" s="87"/>
    </row>
    <row r="856" spans="1:34" s="285" customFormat="1" ht="12.95" customHeight="1" x14ac:dyDescent="0.2">
      <c r="A856" s="1057" t="s">
        <v>553</v>
      </c>
      <c r="B856" s="1058"/>
      <c r="C856" s="1058"/>
      <c r="D856" s="1058"/>
      <c r="E856" s="1058"/>
      <c r="F856" s="1058"/>
      <c r="G856" s="1058"/>
      <c r="H856" s="1058"/>
      <c r="I856" s="1058"/>
      <c r="J856" s="1058"/>
      <c r="K856" s="1058"/>
      <c r="L856" s="1058"/>
      <c r="M856" s="1058"/>
      <c r="N856" s="1058"/>
      <c r="O856" s="1058"/>
      <c r="P856" s="1058"/>
      <c r="Q856" s="1058"/>
      <c r="R856" s="1058"/>
      <c r="S856" s="1059"/>
      <c r="T856" s="280">
        <f>ROUND((L856*I856+1.3*L856*K856+S856*H856),4)</f>
        <v>0</v>
      </c>
      <c r="U856" s="280">
        <f>ROUND((M856*I856+1.3*M856*K856+S856*H856),4)</f>
        <v>0</v>
      </c>
      <c r="V856" s="280">
        <f>ROUND((M856*I856+1.3*M856*K856+S856*H856),4)</f>
        <v>0</v>
      </c>
      <c r="W856" s="280">
        <f>ROUND((L856*J856+1.3*L856*N856+S856*G856),4)</f>
        <v>0</v>
      </c>
      <c r="X856" s="280">
        <f>ROUND((M856*J856+1.3*M856*N856+S856*G856),4)</f>
        <v>0</v>
      </c>
      <c r="Y856" s="280">
        <f>ROUND((M856*J856+1.3*M856*N856+S856*G856),4)</f>
        <v>0</v>
      </c>
      <c r="Z856" s="281">
        <f>ROUND((P856*T856*F856*O856/1000000),4)</f>
        <v>0</v>
      </c>
      <c r="AA856" s="281">
        <f>ROUND((Q856*U856*F856*O856/1000000),4)</f>
        <v>0</v>
      </c>
      <c r="AB856" s="281">
        <f>ROUND((R856*V856*F856*O856/1000000),4)</f>
        <v>0</v>
      </c>
      <c r="AC856" s="282" t="s">
        <v>200</v>
      </c>
      <c r="AD856" s="283" t="s">
        <v>153</v>
      </c>
      <c r="AE856" s="284">
        <f>MAX(AE790,AE796,AE802,AE808,AE814,AE820,AE826,AE832,AE838,AE844,AE850)</f>
        <v>0.12720000000000001</v>
      </c>
      <c r="AF856" s="284">
        <f>AF790+AF796+AF802+AF808+AF814+AF820+AF826+AF832+AF838+AF844+AF850</f>
        <v>12.885600000000002</v>
      </c>
    </row>
    <row r="857" spans="1:34" s="285" customFormat="1" ht="12.95" customHeight="1" x14ac:dyDescent="0.2">
      <c r="A857" s="1057"/>
      <c r="B857" s="1060"/>
      <c r="C857" s="1060"/>
      <c r="D857" s="1060"/>
      <c r="E857" s="1060"/>
      <c r="F857" s="1060"/>
      <c r="G857" s="1060"/>
      <c r="H857" s="1060"/>
      <c r="I857" s="1060"/>
      <c r="J857" s="1060"/>
      <c r="K857" s="1060"/>
      <c r="L857" s="1060"/>
      <c r="M857" s="1060"/>
      <c r="N857" s="1060"/>
      <c r="O857" s="1060"/>
      <c r="P857" s="1060"/>
      <c r="Q857" s="1060"/>
      <c r="R857" s="1060"/>
      <c r="S857" s="1061"/>
      <c r="T857" s="286"/>
      <c r="U857" s="286"/>
      <c r="V857" s="286"/>
      <c r="W857" s="286"/>
      <c r="X857" s="286"/>
      <c r="Y857" s="286"/>
      <c r="Z857" s="286"/>
      <c r="AA857" s="286"/>
      <c r="AB857" s="286"/>
      <c r="AC857" s="282" t="s">
        <v>201</v>
      </c>
      <c r="AD857" s="283" t="s">
        <v>202</v>
      </c>
      <c r="AE857" s="284">
        <f t="shared" ref="AE857:AE861" si="16">MAX(AE791,AE797,AE803,AE809,AE815,AE821,AE827,AE833,AE839,AE845,AE851)</f>
        <v>2.07E-2</v>
      </c>
      <c r="AF857" s="284">
        <f t="shared" ref="AF857:AF861" si="17">AF791+AF797+AF803+AF809+AF815+AF821+AF827+AF833+AF839+AF845+AF851</f>
        <v>2.0939999999999999</v>
      </c>
    </row>
    <row r="858" spans="1:34" s="285" customFormat="1" ht="12.95" customHeight="1" x14ac:dyDescent="0.2">
      <c r="A858" s="1057"/>
      <c r="B858" s="1060"/>
      <c r="C858" s="1060"/>
      <c r="D858" s="1060"/>
      <c r="E858" s="1060"/>
      <c r="F858" s="1060"/>
      <c r="G858" s="1060"/>
      <c r="H858" s="1060"/>
      <c r="I858" s="1060"/>
      <c r="J858" s="1060"/>
      <c r="K858" s="1060"/>
      <c r="L858" s="1060"/>
      <c r="M858" s="1060"/>
      <c r="N858" s="1060"/>
      <c r="O858" s="1060"/>
      <c r="P858" s="1060"/>
      <c r="Q858" s="1060"/>
      <c r="R858" s="1060"/>
      <c r="S858" s="1061"/>
      <c r="T858" s="280">
        <f>ROUND((L858*I856+1.3*L858*K856+S858*H856),4)</f>
        <v>0</v>
      </c>
      <c r="U858" s="280">
        <f>ROUND((M858*0.9*I856+1.3*M858*0.9*K856+S858*H856),4)</f>
        <v>0</v>
      </c>
      <c r="V858" s="280">
        <f>ROUND((M858*I856+1.3*M858*K856+S858*H856),4)</f>
        <v>0</v>
      </c>
      <c r="W858" s="280">
        <f>ROUND((L858*J856+1.3*L858*N856+S858*G856),4)</f>
        <v>0</v>
      </c>
      <c r="X858" s="280">
        <f>ROUND((M858*0.9*J856+1.3*M858*0.9*N856+S858*G856),4)</f>
        <v>0</v>
      </c>
      <c r="Y858" s="280">
        <f>ROUND((M858*J856+1.3*M858*N856+S858*G856),4)</f>
        <v>0</v>
      </c>
      <c r="Z858" s="281">
        <f>ROUND((P856*T858*F856*O856/1000000),4)</f>
        <v>0</v>
      </c>
      <c r="AA858" s="281">
        <f>ROUND((Q856*U858*F856*O856/1000000),4)</f>
        <v>0</v>
      </c>
      <c r="AB858" s="281">
        <f>ROUND((R856*V858*F856*O856/1000000),4)</f>
        <v>0</v>
      </c>
      <c r="AC858" s="282" t="s">
        <v>203</v>
      </c>
      <c r="AD858" s="283" t="s">
        <v>204</v>
      </c>
      <c r="AE858" s="284">
        <f t="shared" si="16"/>
        <v>1.4500000000000001E-2</v>
      </c>
      <c r="AF858" s="284">
        <f t="shared" si="17"/>
        <v>1.4342000000000004</v>
      </c>
    </row>
    <row r="859" spans="1:34" s="285" customFormat="1" ht="12.95" customHeight="1" x14ac:dyDescent="0.2">
      <c r="A859" s="1057"/>
      <c r="B859" s="1060"/>
      <c r="C859" s="1060"/>
      <c r="D859" s="1060"/>
      <c r="E859" s="1060"/>
      <c r="F859" s="1060"/>
      <c r="G859" s="1060"/>
      <c r="H859" s="1060"/>
      <c r="I859" s="1060"/>
      <c r="J859" s="1060"/>
      <c r="K859" s="1060"/>
      <c r="L859" s="1060"/>
      <c r="M859" s="1060"/>
      <c r="N859" s="1060"/>
      <c r="O859" s="1060"/>
      <c r="P859" s="1060"/>
      <c r="Q859" s="1060"/>
      <c r="R859" s="1060"/>
      <c r="S859" s="1061"/>
      <c r="T859" s="280">
        <f>ROUND((L859*I856+1.3*L859*K856+S859*H856),4)</f>
        <v>0</v>
      </c>
      <c r="U859" s="280">
        <f>ROUND((M859*0.9*I856+1.3*M859*0.9*K856+S859*H856),4)</f>
        <v>0</v>
      </c>
      <c r="V859" s="280">
        <f>ROUND((M859*I856+1.3*M859*K856+S859*H856),4)</f>
        <v>0</v>
      </c>
      <c r="W859" s="280">
        <f>ROUND((L859*J856+1.3*L859*N856+S859*G856),4)</f>
        <v>0</v>
      </c>
      <c r="X859" s="280">
        <f>ROUND((M859*0.9*J856+1.3*M859*0.9*N856+S859*G856),4)</f>
        <v>0</v>
      </c>
      <c r="Y859" s="280">
        <f>ROUND((M859*J856+1.3*N856+S859*G856),4)</f>
        <v>0</v>
      </c>
      <c r="Z859" s="281">
        <f>ROUND((P856*T859*F856*O856/1000000),4)</f>
        <v>0</v>
      </c>
      <c r="AA859" s="281">
        <f>ROUND((Q856*U859*F856*O856/1000000),4)</f>
        <v>0</v>
      </c>
      <c r="AB859" s="281">
        <f>ROUND((R856*V859*F856*O856/1000000),4)</f>
        <v>0</v>
      </c>
      <c r="AC859" s="282" t="s">
        <v>205</v>
      </c>
      <c r="AD859" s="283" t="s">
        <v>206</v>
      </c>
      <c r="AE859" s="284">
        <f t="shared" si="16"/>
        <v>3.32E-2</v>
      </c>
      <c r="AF859" s="284">
        <f t="shared" si="17"/>
        <v>3.0261999999999998</v>
      </c>
    </row>
    <row r="860" spans="1:34" s="285" customFormat="1" ht="12.95" customHeight="1" x14ac:dyDescent="0.2">
      <c r="A860" s="1057"/>
      <c r="B860" s="1060"/>
      <c r="C860" s="1060"/>
      <c r="D860" s="1060"/>
      <c r="E860" s="1060"/>
      <c r="F860" s="1060"/>
      <c r="G860" s="1060"/>
      <c r="H860" s="1060"/>
      <c r="I860" s="1060"/>
      <c r="J860" s="1060"/>
      <c r="K860" s="1060"/>
      <c r="L860" s="1060"/>
      <c r="M860" s="1060"/>
      <c r="N860" s="1060"/>
      <c r="O860" s="1060"/>
      <c r="P860" s="1060"/>
      <c r="Q860" s="1060"/>
      <c r="R860" s="1060"/>
      <c r="S860" s="1061"/>
      <c r="T860" s="280">
        <f>ROUND((L860*I856+1.3*L860*K856+S860*H856),4)</f>
        <v>0</v>
      </c>
      <c r="U860" s="280">
        <f>ROUND((M860*0.9*I856+1.3*M860*0.9*K856+S860*H856),4)</f>
        <v>0</v>
      </c>
      <c r="V860" s="280">
        <f>ROUND((M860*I856+1.3*M860*K856+S860*H856),4)</f>
        <v>0</v>
      </c>
      <c r="W860" s="280">
        <f>ROUND((L860*J856+1.3*L860*N856+S860*G856),4)</f>
        <v>0</v>
      </c>
      <c r="X860" s="280">
        <f>ROUND((M860*0.9*J856+1.3*M860*0.9*N856+S860*G856),4)</f>
        <v>0</v>
      </c>
      <c r="Y860" s="280">
        <f>ROUND((M860*J856+1.3*M860*N856+S860*G856),4)</f>
        <v>0</v>
      </c>
      <c r="Z860" s="281">
        <f>ROUND((P856*T860*F856*O856/1000000),4)</f>
        <v>0</v>
      </c>
      <c r="AA860" s="281">
        <f>ROUND((Q856*U860*F856*O856/1000000),4)</f>
        <v>0</v>
      </c>
      <c r="AB860" s="281">
        <f>ROUND((R856*V860*F856*O856/1000000),4)</f>
        <v>0</v>
      </c>
      <c r="AC860" s="282" t="s">
        <v>250</v>
      </c>
      <c r="AD860" s="283" t="s">
        <v>208</v>
      </c>
      <c r="AE860" s="284">
        <f t="shared" si="16"/>
        <v>2.3800000000000002E-2</v>
      </c>
      <c r="AF860" s="284">
        <f t="shared" si="17"/>
        <v>2.0345999999999997</v>
      </c>
      <c r="AG860" s="288"/>
      <c r="AH860" s="288"/>
    </row>
    <row r="861" spans="1:34" s="285" customFormat="1" ht="12.95" customHeight="1" x14ac:dyDescent="0.2">
      <c r="A861" s="1062"/>
      <c r="B861" s="1063"/>
      <c r="C861" s="1063"/>
      <c r="D861" s="1063"/>
      <c r="E861" s="1063"/>
      <c r="F861" s="1063"/>
      <c r="G861" s="1063"/>
      <c r="H861" s="1063"/>
      <c r="I861" s="1063"/>
      <c r="J861" s="1063"/>
      <c r="K861" s="1063"/>
      <c r="L861" s="1063"/>
      <c r="M861" s="1063"/>
      <c r="N861" s="1063"/>
      <c r="O861" s="1063"/>
      <c r="P861" s="1063"/>
      <c r="Q861" s="1063"/>
      <c r="R861" s="1063"/>
      <c r="S861" s="1064"/>
      <c r="T861" s="280">
        <f>ROUND((L861*I856+1.3*L861*K856+S861*H856),4)</f>
        <v>0</v>
      </c>
      <c r="U861" s="280">
        <f>ROUND((M861*0.9*I856+1.3*M861*0.9*K856+S861*H856),4)</f>
        <v>0</v>
      </c>
      <c r="V861" s="280">
        <f>ROUND((M861*I856+1.3*M861*K856+S861*H856),4)</f>
        <v>0</v>
      </c>
      <c r="W861" s="280">
        <f>ROUND((L861*J856+1.3*L861*N856+S861*G856),4)</f>
        <v>0</v>
      </c>
      <c r="X861" s="280">
        <f>ROUND((M861*0.9*J856+1.3*M861*0.9*N856+S861*G856),4)</f>
        <v>0</v>
      </c>
      <c r="Y861" s="280">
        <f>ROUND((M861*J856+1.3*M861*N856+S861*G856),4)</f>
        <v>0</v>
      </c>
      <c r="Z861" s="281">
        <f>ROUND((P856*T861*F856*O856/1000000),4)</f>
        <v>0</v>
      </c>
      <c r="AA861" s="281">
        <f>ROUND((Q856*U861*F856*O856/1000000),4)</f>
        <v>0</v>
      </c>
      <c r="AB861" s="281">
        <f>ROUND((R856*V861*F856*O856/1000000),4)</f>
        <v>0</v>
      </c>
      <c r="AC861" s="282" t="s">
        <v>170</v>
      </c>
      <c r="AD861" s="283" t="s">
        <v>162</v>
      </c>
      <c r="AE861" s="284">
        <f t="shared" si="16"/>
        <v>0.12039999999999999</v>
      </c>
      <c r="AF861" s="284">
        <f t="shared" si="17"/>
        <v>9.4589000000000016</v>
      </c>
      <c r="AG861" s="290">
        <f>SUM(AE856:AE861)</f>
        <v>0.33980000000000005</v>
      </c>
      <c r="AH861" s="290">
        <f>SUM(AF856:AF861)</f>
        <v>30.933500000000002</v>
      </c>
    </row>
    <row r="862" spans="1:34" s="285" customFormat="1" ht="12.95" customHeight="1" x14ac:dyDescent="0.2">
      <c r="A862" s="1068" t="s">
        <v>115</v>
      </c>
      <c r="B862" s="1069"/>
      <c r="C862" s="1069"/>
      <c r="D862" s="1069"/>
      <c r="E862" s="1069"/>
      <c r="F862" s="1069"/>
      <c r="G862" s="1069"/>
      <c r="H862" s="1069"/>
      <c r="I862" s="1069"/>
      <c r="J862" s="1069"/>
      <c r="K862" s="1069"/>
      <c r="L862" s="1069"/>
      <c r="M862" s="1069"/>
      <c r="N862" s="1069"/>
      <c r="O862" s="1069"/>
      <c r="P862" s="1069"/>
      <c r="Q862" s="1069"/>
      <c r="R862" s="1069"/>
      <c r="S862" s="1069"/>
      <c r="T862" s="1069"/>
      <c r="U862" s="1069"/>
      <c r="V862" s="1069"/>
      <c r="W862" s="1069"/>
      <c r="X862" s="1069"/>
      <c r="Y862" s="1069"/>
      <c r="Z862" s="1069"/>
      <c r="AA862" s="1069"/>
      <c r="AB862" s="1069"/>
      <c r="AC862" s="1069"/>
      <c r="AD862" s="1069"/>
      <c r="AE862" s="1069"/>
      <c r="AF862" s="1070"/>
    </row>
    <row r="863" spans="1:34" ht="12.95" customHeight="1" x14ac:dyDescent="0.25">
      <c r="A863" s="45">
        <v>8030</v>
      </c>
      <c r="B863" s="46" t="s">
        <v>218</v>
      </c>
      <c r="C863" s="45">
        <v>4</v>
      </c>
      <c r="D863" s="45" t="s">
        <v>199</v>
      </c>
      <c r="E863" s="45">
        <v>1</v>
      </c>
      <c r="F863" s="45">
        <v>1</v>
      </c>
      <c r="G863" s="45">
        <v>6</v>
      </c>
      <c r="H863" s="45">
        <v>60</v>
      </c>
      <c r="I863" s="45">
        <f>(8-1-0.75*2)*60*F863-K863-8*0.12*60</f>
        <v>57.900000000000006</v>
      </c>
      <c r="J863" s="45">
        <v>14</v>
      </c>
      <c r="K863" s="45">
        <f>(8-1-0.75*2)*0.65*60*F863</f>
        <v>214.5</v>
      </c>
      <c r="L863" s="45">
        <v>2.4700000000000002</v>
      </c>
      <c r="M863" s="45">
        <v>2.4700000000000002</v>
      </c>
      <c r="N863" s="45">
        <v>10</v>
      </c>
      <c r="O863" s="45">
        <f>E863/F863</f>
        <v>1</v>
      </c>
      <c r="P863" s="45">
        <v>180</v>
      </c>
      <c r="Q863" s="45">
        <v>0</v>
      </c>
      <c r="R863" s="47">
        <v>0</v>
      </c>
      <c r="S863" s="45">
        <v>0.48</v>
      </c>
      <c r="T863" s="48">
        <f>ROUND((L863*I863+1.3*L863*K863+S863*H863),4)</f>
        <v>860.57249999999999</v>
      </c>
      <c r="U863" s="48">
        <f>ROUND((M863*I863+1.3*M863*K863+S863*H863),4)</f>
        <v>860.57249999999999</v>
      </c>
      <c r="V863" s="48">
        <f>ROUND((M863*I863+1.3*M863*K863+S863*H863),4)</f>
        <v>860.57249999999999</v>
      </c>
      <c r="W863" s="48">
        <f>ROUND((L863*J863+1.3*L863*N863+S863*G863),4)</f>
        <v>69.569999999999993</v>
      </c>
      <c r="X863" s="48">
        <f>ROUND((M863*J863+1.3*M863*N863+S863*G863),4)</f>
        <v>69.569999999999993</v>
      </c>
      <c r="Y863" s="48">
        <f>ROUND((M863*J863+1.3*M863*N863+S863*G863),4)</f>
        <v>69.569999999999993</v>
      </c>
      <c r="Z863" s="49">
        <f>ROUND((P863*T863*F863*O863/1000000),4)</f>
        <v>0.15490000000000001</v>
      </c>
      <c r="AA863" s="49">
        <f>ROUND((Q863*U863*F863*O863/1000000),4)</f>
        <v>0</v>
      </c>
      <c r="AB863" s="49">
        <f>ROUND((R863*V863*F863*O863/1000000),4)</f>
        <v>0</v>
      </c>
      <c r="AC863" s="50" t="s">
        <v>200</v>
      </c>
      <c r="AD863" s="51" t="s">
        <v>153</v>
      </c>
      <c r="AE863" s="44">
        <f>ROUND((((X863*E863)/1800)*0.8),4)</f>
        <v>3.09E-2</v>
      </c>
      <c r="AF863" s="44">
        <f>ROUND(((Z863+AA863+AB863)*0.8),4)</f>
        <v>0.1239</v>
      </c>
    </row>
    <row r="864" spans="1:34" ht="12.95" customHeight="1" x14ac:dyDescent="0.25">
      <c r="A864" s="63"/>
      <c r="B864" s="53" t="s">
        <v>219</v>
      </c>
      <c r="C864" s="52"/>
      <c r="D864" s="52"/>
      <c r="E864" s="52"/>
      <c r="F864" s="63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68"/>
      <c r="T864" s="54"/>
      <c r="U864" s="54"/>
      <c r="V864" s="54"/>
      <c r="W864" s="54"/>
      <c r="X864" s="54"/>
      <c r="Y864" s="54"/>
      <c r="Z864" s="54"/>
      <c r="AA864" s="54"/>
      <c r="AB864" s="54"/>
      <c r="AC864" s="50" t="s">
        <v>201</v>
      </c>
      <c r="AD864" s="51" t="s">
        <v>202</v>
      </c>
      <c r="AE864" s="44">
        <f>ROUND((((X863*E863)/1800)*0.13),4)</f>
        <v>5.0000000000000001E-3</v>
      </c>
      <c r="AF864" s="44">
        <f>ROUND(((Z863+AA863+AB863)*0.13),4)</f>
        <v>2.01E-2</v>
      </c>
    </row>
    <row r="865" spans="1:32" ht="12.95" customHeight="1" x14ac:dyDescent="0.25">
      <c r="A865" s="63"/>
      <c r="B865" s="53"/>
      <c r="C865" s="55"/>
      <c r="D865" s="55"/>
      <c r="E865" s="52"/>
      <c r="F865" s="63"/>
      <c r="G865" s="52"/>
      <c r="H865" s="52"/>
      <c r="I865" s="52"/>
      <c r="J865" s="52"/>
      <c r="K865" s="52"/>
      <c r="L865" s="52">
        <v>0.19</v>
      </c>
      <c r="M865" s="52">
        <v>0.23</v>
      </c>
      <c r="N865" s="52"/>
      <c r="O865" s="52"/>
      <c r="P865" s="52"/>
      <c r="Q865" s="52"/>
      <c r="R865" s="52"/>
      <c r="S865" s="69">
        <v>9.7000000000000003E-2</v>
      </c>
      <c r="T865" s="48">
        <f>ROUND((L865*I863+1.3*L865*K863+S865*H863),4)</f>
        <v>69.802499999999995</v>
      </c>
      <c r="U865" s="48">
        <f>ROUND((M865*0.9*I863+1.3*M865*0.9*K863+S865*H863),4)</f>
        <v>75.527299999999997</v>
      </c>
      <c r="V865" s="48">
        <f>ROUND((M865*I863+1.3*M865*K863+S865*H863),4)</f>
        <v>83.272499999999994</v>
      </c>
      <c r="W865" s="48">
        <f>ROUND((L865*J863+1.3*L865*N863+S865*G863),4)</f>
        <v>5.7119999999999997</v>
      </c>
      <c r="X865" s="48">
        <f>ROUND((M865*0.9*J863+1.3*M865*0.9*N863+S865*G863),4)</f>
        <v>6.1710000000000003</v>
      </c>
      <c r="Y865" s="48">
        <f>ROUND((M865*J863+1.3*M865*N863+S865*G863),4)</f>
        <v>6.7919999999999998</v>
      </c>
      <c r="Z865" s="49">
        <f>ROUND((P863*T865*F863*O863/1000000),4)</f>
        <v>1.26E-2</v>
      </c>
      <c r="AA865" s="49">
        <f>ROUND((Q863*U865*F863*O863/1000000),4)</f>
        <v>0</v>
      </c>
      <c r="AB865" s="49">
        <f>ROUND((R863*V865*F863*O863/1000000),4)</f>
        <v>0</v>
      </c>
      <c r="AC865" s="50" t="s">
        <v>203</v>
      </c>
      <c r="AD865" s="51" t="s">
        <v>204</v>
      </c>
      <c r="AE865" s="44">
        <f>ROUND((((X865*E863)/1800)),4)</f>
        <v>3.3999999999999998E-3</v>
      </c>
      <c r="AF865" s="44">
        <f>ROUND(((Z865+AA865+AB865)),5)</f>
        <v>1.26E-2</v>
      </c>
    </row>
    <row r="866" spans="1:32" ht="12.95" customHeight="1" x14ac:dyDescent="0.25">
      <c r="A866" s="63"/>
      <c r="B866" s="98"/>
      <c r="C866" s="52"/>
      <c r="D866" s="52"/>
      <c r="E866" s="52"/>
      <c r="F866" s="63"/>
      <c r="G866" s="52"/>
      <c r="H866" s="52"/>
      <c r="I866" s="52"/>
      <c r="J866" s="52"/>
      <c r="K866" s="52"/>
      <c r="L866" s="52">
        <v>0.43</v>
      </c>
      <c r="M866" s="52">
        <v>0.51</v>
      </c>
      <c r="N866" s="52"/>
      <c r="O866" s="52"/>
      <c r="P866" s="52"/>
      <c r="Q866" s="52"/>
      <c r="R866" s="52"/>
      <c r="S866" s="69">
        <v>0.3</v>
      </c>
      <c r="T866" s="48">
        <f>ROUND((L866*I863+1.3*L866*K863+S866*H863),4)</f>
        <v>162.80250000000001</v>
      </c>
      <c r="U866" s="48">
        <f>ROUND((M866*0.9*I863+1.3*M866*0.9*K863+S866*H863),4)</f>
        <v>172.56829999999999</v>
      </c>
      <c r="V866" s="48">
        <f>ROUND((M866*I863+1.3*M866*K863+S866*H863),4)</f>
        <v>189.74250000000001</v>
      </c>
      <c r="W866" s="48">
        <f>ROUND((L866*J863+1.3*L866*N863+S866*G863),4)</f>
        <v>13.41</v>
      </c>
      <c r="X866" s="48">
        <f>ROUND((M866*0.9*J863+1.3*M866*0.9*N863+S866*G863),4)</f>
        <v>14.193</v>
      </c>
      <c r="Y866" s="48">
        <f>ROUND((M866*J863+1.3*N863+S866*G863),4)</f>
        <v>21.94</v>
      </c>
      <c r="Z866" s="49">
        <f>ROUND((P863*T866*F863*O863/1000000),4)</f>
        <v>2.93E-2</v>
      </c>
      <c r="AA866" s="49">
        <f>ROUND((Q863*U866*F863*O863/1000000),4)</f>
        <v>0</v>
      </c>
      <c r="AB866" s="49">
        <f>ROUND((R863*V866*F863*O863/1000000),4)</f>
        <v>0</v>
      </c>
      <c r="AC866" s="50" t="s">
        <v>205</v>
      </c>
      <c r="AD866" s="51" t="s">
        <v>206</v>
      </c>
      <c r="AE866" s="44">
        <f>ROUND((((X866*E863)/1800)),4)</f>
        <v>7.9000000000000008E-3</v>
      </c>
      <c r="AF866" s="44">
        <f>ROUND(((Z866+AA866+AB866)),4)</f>
        <v>2.93E-2</v>
      </c>
    </row>
    <row r="867" spans="1:32" ht="12.95" customHeight="1" x14ac:dyDescent="0.25">
      <c r="A867" s="63"/>
      <c r="B867" s="53"/>
      <c r="C867" s="52"/>
      <c r="D867" s="52"/>
      <c r="E867" s="52"/>
      <c r="F867" s="63"/>
      <c r="G867" s="52"/>
      <c r="H867" s="52"/>
      <c r="I867" s="52"/>
      <c r="J867" s="52"/>
      <c r="K867" s="52"/>
      <c r="L867" s="52">
        <v>0.27</v>
      </c>
      <c r="M867" s="52">
        <v>0.41</v>
      </c>
      <c r="N867" s="52"/>
      <c r="O867" s="52"/>
      <c r="P867" s="52"/>
      <c r="Q867" s="52"/>
      <c r="R867" s="52"/>
      <c r="S867" s="69">
        <v>0.06</v>
      </c>
      <c r="T867" s="48">
        <f>ROUND((L867*I863+1.3*L867*K863+S867*H863),4)</f>
        <v>94.522499999999994</v>
      </c>
      <c r="U867" s="48">
        <f>ROUND((M867*0.9*I863+1.3*M867*0.9*K863+S867*H863),4)</f>
        <v>127.8608</v>
      </c>
      <c r="V867" s="48">
        <f>ROUND((M867*I863+1.3*M867*K863+S867*H863),4)</f>
        <v>141.66749999999999</v>
      </c>
      <c r="W867" s="48">
        <f>ROUND((L867*J863+1.3*L867*N863+S867*G863),4)</f>
        <v>7.65</v>
      </c>
      <c r="X867" s="48">
        <f>ROUND((M867*0.9*J863+1.3*M867*0.9*N863+S867*G863),4)</f>
        <v>10.323</v>
      </c>
      <c r="Y867" s="48">
        <f>ROUND((M867*J863+1.3*M867*N863+S867*G863),4)</f>
        <v>11.43</v>
      </c>
      <c r="Z867" s="49">
        <f>ROUND((P863*T867*F863*O863/1000000),4)</f>
        <v>1.7000000000000001E-2</v>
      </c>
      <c r="AA867" s="49">
        <f>ROUND((Q863*U867*F863*O863/1000000),4)</f>
        <v>0</v>
      </c>
      <c r="AB867" s="49">
        <f>ROUND((R863*V867*F863*O863/1000000),4)</f>
        <v>0</v>
      </c>
      <c r="AC867" s="50" t="s">
        <v>250</v>
      </c>
      <c r="AD867" s="51" t="s">
        <v>208</v>
      </c>
      <c r="AE867" s="44">
        <f>ROUND((((X867*E863)/1800)),4)</f>
        <v>5.7000000000000002E-3</v>
      </c>
      <c r="AF867" s="44">
        <f>ROUND(((Z867+AA867+AB867)),4)</f>
        <v>1.7000000000000001E-2</v>
      </c>
    </row>
    <row r="868" spans="1:32" ht="12.95" customHeight="1" x14ac:dyDescent="0.25">
      <c r="A868" s="63"/>
      <c r="B868" s="53"/>
      <c r="C868" s="56"/>
      <c r="D868" s="56"/>
      <c r="E868" s="56"/>
      <c r="F868" s="66"/>
      <c r="G868" s="56"/>
      <c r="H868" s="56"/>
      <c r="I868" s="56"/>
      <c r="J868" s="56"/>
      <c r="K868" s="56"/>
      <c r="L868" s="56">
        <v>1.29</v>
      </c>
      <c r="M868" s="56">
        <v>1.57</v>
      </c>
      <c r="N868" s="56"/>
      <c r="O868" s="56"/>
      <c r="P868" s="56"/>
      <c r="Q868" s="56"/>
      <c r="R868" s="56"/>
      <c r="S868" s="69">
        <v>2.4</v>
      </c>
      <c r="T868" s="70">
        <f>ROUND((L868*I863+1.3*L868*K863+S868*H863),4)</f>
        <v>578.40750000000003</v>
      </c>
      <c r="U868" s="70">
        <f>ROUND((M868*0.9*I863+1.3*M868*0.9*K863+S868*H863),4)</f>
        <v>619.82780000000002</v>
      </c>
      <c r="V868" s="70">
        <f>ROUND((M868*I863+1.3*M868*K863+S868*H863),4)</f>
        <v>672.69749999999999</v>
      </c>
      <c r="W868" s="70">
        <f>ROUND((L868*J863+1.3*L868*N863+S868*G863),4)</f>
        <v>49.23</v>
      </c>
      <c r="X868" s="70">
        <f>ROUND((M868*0.9*J863+1.3*M868*0.9*N863+S868*G863),4)</f>
        <v>52.551000000000002</v>
      </c>
      <c r="Y868" s="70">
        <f>ROUND((M868*J863+1.3*M868*N863+S868*G863),4)</f>
        <v>56.79</v>
      </c>
      <c r="Z868" s="71">
        <f>ROUND((P863*T868*F863*O863/1000000),4)</f>
        <v>0.1041</v>
      </c>
      <c r="AA868" s="71">
        <f>ROUND((Q863*U868*F863*O863/1000000),4)</f>
        <v>0</v>
      </c>
      <c r="AB868" s="71">
        <f>ROUND((R863*V868*F863*O863/1000000),4)</f>
        <v>0</v>
      </c>
      <c r="AC868" s="50" t="s">
        <v>170</v>
      </c>
      <c r="AD868" s="51" t="s">
        <v>162</v>
      </c>
      <c r="AE868" s="44">
        <f>ROUND((((X868*E863)/1800)),4)</f>
        <v>2.92E-2</v>
      </c>
      <c r="AF868" s="44">
        <f>ROUND(((Z868+AA868+AB868)),4)</f>
        <v>0.1041</v>
      </c>
    </row>
    <row r="869" spans="1:32" ht="12.95" customHeight="1" x14ac:dyDescent="0.25">
      <c r="A869" s="63"/>
      <c r="B869" s="46" t="s">
        <v>211</v>
      </c>
      <c r="C869" s="46">
        <v>5</v>
      </c>
      <c r="D869" s="45" t="s">
        <v>209</v>
      </c>
      <c r="E869" s="45">
        <v>1</v>
      </c>
      <c r="F869" s="45">
        <v>3</v>
      </c>
      <c r="G869" s="45">
        <v>6</v>
      </c>
      <c r="H869" s="45">
        <v>60</v>
      </c>
      <c r="I869" s="45">
        <f>(8-1-0.75*2)*60*F869-K869-8*0.12*60</f>
        <v>288.89999999999998</v>
      </c>
      <c r="J869" s="45">
        <v>14</v>
      </c>
      <c r="K869" s="45">
        <f>(8-1-0.75*2)*0.65*60*F869</f>
        <v>643.5</v>
      </c>
      <c r="L869" s="48">
        <v>4.01</v>
      </c>
      <c r="M869" s="48">
        <v>4.01</v>
      </c>
      <c r="N869" s="45">
        <v>10</v>
      </c>
      <c r="O869" s="45">
        <f>E869/F869</f>
        <v>0.33333333333333331</v>
      </c>
      <c r="P869" s="45">
        <v>180</v>
      </c>
      <c r="Q869" s="45">
        <v>30</v>
      </c>
      <c r="R869" s="47">
        <v>30</v>
      </c>
      <c r="S869" s="47">
        <v>0.78</v>
      </c>
      <c r="T869" s="48">
        <f>ROUND((L869*I869+1.3*L869*K869+S869*H869),4)</f>
        <v>4559.8545000000004</v>
      </c>
      <c r="U869" s="48">
        <f>ROUND((M869*I869+1.3*M869*K869+S869*H869),4)</f>
        <v>4559.8545000000004</v>
      </c>
      <c r="V869" s="48">
        <f>ROUND((M869*I869+1.3*M869*K869+S869*H869),4)</f>
        <v>4559.8545000000004</v>
      </c>
      <c r="W869" s="48">
        <f>ROUND((L869*J869+1.3*L869*N869+S869*G869),4)</f>
        <v>112.95</v>
      </c>
      <c r="X869" s="48">
        <f>ROUND((M869*J869+1.3*M869*N869+S869*G869),4)</f>
        <v>112.95</v>
      </c>
      <c r="Y869" s="48">
        <f>ROUND((M869*J869+1.3*M869*N869+S869*G869),4)</f>
        <v>112.95</v>
      </c>
      <c r="Z869" s="49">
        <f>ROUND((P869*T869*F869*O869/1000000),4)</f>
        <v>0.82079999999999997</v>
      </c>
      <c r="AA869" s="49">
        <f>ROUND((Q869*U869*F869*O869/1000000),4)</f>
        <v>0.1368</v>
      </c>
      <c r="AB869" s="49">
        <f>ROUND((R869*V869*F869*O869/1000000),4)</f>
        <v>0.1368</v>
      </c>
      <c r="AC869" s="50" t="s">
        <v>200</v>
      </c>
      <c r="AD869" s="51" t="s">
        <v>153</v>
      </c>
      <c r="AE869" s="44">
        <f>ROUND((((X869*E869)/1800)*0.8),4)</f>
        <v>5.0200000000000002E-2</v>
      </c>
      <c r="AF869" s="44">
        <f>ROUND(((Z869+AA869+AB869)*0.8),4)</f>
        <v>0.87549999999999994</v>
      </c>
    </row>
    <row r="870" spans="1:32" ht="12.95" customHeight="1" x14ac:dyDescent="0.25">
      <c r="A870" s="63"/>
      <c r="B870" s="73" t="s">
        <v>212</v>
      </c>
      <c r="C870" s="53"/>
      <c r="D870" s="52"/>
      <c r="E870" s="52"/>
      <c r="F870" s="52"/>
      <c r="G870" s="52"/>
      <c r="H870" s="52"/>
      <c r="I870" s="52"/>
      <c r="J870" s="52"/>
      <c r="K870" s="52"/>
      <c r="L870" s="56"/>
      <c r="M870" s="56"/>
      <c r="N870" s="52"/>
      <c r="O870" s="52"/>
      <c r="P870" s="63"/>
      <c r="Q870" s="63"/>
      <c r="R870" s="63"/>
      <c r="S870" s="57"/>
      <c r="T870" s="54"/>
      <c r="U870" s="54"/>
      <c r="V870" s="54"/>
      <c r="W870" s="54"/>
      <c r="X870" s="54"/>
      <c r="Y870" s="54"/>
      <c r="Z870" s="54"/>
      <c r="AA870" s="54"/>
      <c r="AB870" s="54"/>
      <c r="AC870" s="50" t="s">
        <v>201</v>
      </c>
      <c r="AD870" s="51" t="s">
        <v>202</v>
      </c>
      <c r="AE870" s="44">
        <f>ROUND((((X869*E869)/1800)*0.13),4)</f>
        <v>8.2000000000000007E-3</v>
      </c>
      <c r="AF870" s="44">
        <f>ROUND(((Z869+AA869+AB869)*0.13),4)</f>
        <v>0.14230000000000001</v>
      </c>
    </row>
    <row r="871" spans="1:32" ht="12.95" customHeight="1" x14ac:dyDescent="0.25">
      <c r="A871" s="63"/>
      <c r="B871" s="64"/>
      <c r="C871" s="58"/>
      <c r="D871" s="55"/>
      <c r="E871" s="52"/>
      <c r="F871" s="52"/>
      <c r="G871" s="52"/>
      <c r="H871" s="52"/>
      <c r="I871" s="52"/>
      <c r="J871" s="52"/>
      <c r="K871" s="52"/>
      <c r="L871" s="59">
        <v>0.31</v>
      </c>
      <c r="M871" s="59">
        <v>0.38</v>
      </c>
      <c r="N871" s="52"/>
      <c r="O871" s="52"/>
      <c r="P871" s="63"/>
      <c r="Q871" s="63"/>
      <c r="R871" s="63"/>
      <c r="S871" s="60">
        <v>0.16</v>
      </c>
      <c r="T871" s="48">
        <f>ROUND((L871*I869+1.3*L871*K869+S871*H869),4)</f>
        <v>358.48950000000002</v>
      </c>
      <c r="U871" s="48">
        <f>ROUND((M871*0.9*I869+1.3*M871*0.9*K869+S871*H869),4)</f>
        <v>394.50389999999999</v>
      </c>
      <c r="V871" s="48">
        <f>ROUND((M871*I869+1.3*M871*K869+S871*H869),4)</f>
        <v>437.27100000000002</v>
      </c>
      <c r="W871" s="48">
        <f>ROUND((L871*J869+1.3*L871*N869+S871*G869),4)</f>
        <v>9.33</v>
      </c>
      <c r="X871" s="48">
        <f>ROUND((M871*0.9*J869+1.3*M871*0.9*N869+S871*G869),4)</f>
        <v>10.194000000000001</v>
      </c>
      <c r="Y871" s="48">
        <f>ROUND((M871*J869+1.3*M871*N869+S871*G869),4)</f>
        <v>11.22</v>
      </c>
      <c r="Z871" s="49">
        <f>ROUND((P869*T871*F869*O869/1000000),4)</f>
        <v>6.4500000000000002E-2</v>
      </c>
      <c r="AA871" s="49">
        <f>ROUND((Q869*U871*F869*O869/1000000),4)</f>
        <v>1.18E-2</v>
      </c>
      <c r="AB871" s="49">
        <f>ROUND((R869*V871*F869*O869/1000000),4)</f>
        <v>1.3100000000000001E-2</v>
      </c>
      <c r="AC871" s="50" t="s">
        <v>203</v>
      </c>
      <c r="AD871" s="51" t="s">
        <v>204</v>
      </c>
      <c r="AE871" s="44">
        <f>ROUND((((X871*E869)/1800)),4)</f>
        <v>5.7000000000000002E-3</v>
      </c>
      <c r="AF871" s="44">
        <f>ROUND(((Z871+AA871+AB871)),5)</f>
        <v>8.9399999999999993E-2</v>
      </c>
    </row>
    <row r="872" spans="1:32" ht="12.95" customHeight="1" x14ac:dyDescent="0.25">
      <c r="A872" s="63"/>
      <c r="B872" s="64"/>
      <c r="C872" s="53"/>
      <c r="D872" s="52"/>
      <c r="E872" s="52"/>
      <c r="F872" s="52"/>
      <c r="G872" s="52"/>
      <c r="H872" s="52"/>
      <c r="I872" s="52"/>
      <c r="J872" s="52"/>
      <c r="K872" s="52"/>
      <c r="L872" s="59">
        <v>0.71</v>
      </c>
      <c r="M872" s="59">
        <v>0.85</v>
      </c>
      <c r="N872" s="52"/>
      <c r="O872" s="52"/>
      <c r="P872" s="63"/>
      <c r="Q872" s="63"/>
      <c r="R872" s="63"/>
      <c r="S872" s="61">
        <v>0.49</v>
      </c>
      <c r="T872" s="48">
        <f>ROUND((L872*I869+1.3*L872*K869+S872*H869),4)</f>
        <v>828.46950000000004</v>
      </c>
      <c r="U872" s="48">
        <f>ROUND((M872*0.9*I869+1.3*M872*0.9*K869+S872*H869),4)</f>
        <v>890.36929999999995</v>
      </c>
      <c r="V872" s="48">
        <f>ROUND((M872*I869+1.3*M872*K869+S872*H869),4)</f>
        <v>986.03250000000003</v>
      </c>
      <c r="W872" s="48">
        <f>ROUND((L872*J869+1.3*L872*N869+S872*G869),4)</f>
        <v>22.11</v>
      </c>
      <c r="X872" s="48">
        <f>ROUND((M872*0.9*J869+1.3*M872*0.9*N869+S872*G869),4)</f>
        <v>23.594999999999999</v>
      </c>
      <c r="Y872" s="48">
        <f>ROUND((M872*J869+1.3*N869+S872*G869),4)</f>
        <v>27.84</v>
      </c>
      <c r="Z872" s="49">
        <f>ROUND((P869*T872*F869*O869/1000000),4)</f>
        <v>0.14910000000000001</v>
      </c>
      <c r="AA872" s="49">
        <f>ROUND((Q869*U872*F869*O869/1000000),4)</f>
        <v>2.6700000000000002E-2</v>
      </c>
      <c r="AB872" s="49">
        <f>ROUND((R869*V872*F869*O869/1000000),4)</f>
        <v>2.9600000000000001E-2</v>
      </c>
      <c r="AC872" s="50" t="s">
        <v>205</v>
      </c>
      <c r="AD872" s="51" t="s">
        <v>206</v>
      </c>
      <c r="AE872" s="44">
        <f>ROUND((((X872*E869)/1800)),4)</f>
        <v>1.3100000000000001E-2</v>
      </c>
      <c r="AF872" s="44">
        <f>ROUND(((Z872+AA872+AB872)),4)</f>
        <v>0.2054</v>
      </c>
    </row>
    <row r="873" spans="1:32" ht="12.95" customHeight="1" x14ac:dyDescent="0.25">
      <c r="A873" s="63"/>
      <c r="B873" s="64"/>
      <c r="C873" s="53"/>
      <c r="D873" s="52"/>
      <c r="E873" s="52"/>
      <c r="F873" s="52"/>
      <c r="G873" s="52"/>
      <c r="H873" s="52"/>
      <c r="I873" s="52"/>
      <c r="J873" s="52"/>
      <c r="K873" s="52"/>
      <c r="L873" s="59">
        <v>0.45</v>
      </c>
      <c r="M873" s="59">
        <v>0.67</v>
      </c>
      <c r="N873" s="52"/>
      <c r="O873" s="52"/>
      <c r="P873" s="63"/>
      <c r="Q873" s="63"/>
      <c r="R873" s="63"/>
      <c r="S873" s="61">
        <v>0.1</v>
      </c>
      <c r="T873" s="48">
        <f>ROUND((L873*I869+1.3*L873*K869+S873*H869),4)</f>
        <v>512.45249999999999</v>
      </c>
      <c r="U873" s="48">
        <f>ROUND((M873*0.9*I869+1.3*M873*0.9*K869+S873*H869),4)</f>
        <v>684.64639999999997</v>
      </c>
      <c r="V873" s="48">
        <f>ROUND((M873*I869+1.3*M873*K869+S873*H869),4)</f>
        <v>760.05150000000003</v>
      </c>
      <c r="W873" s="48">
        <f>ROUND((L873*J869+1.3*L873*N869+S873*G869),4)</f>
        <v>12.75</v>
      </c>
      <c r="X873" s="48">
        <f>ROUND((M873*0.9*J869+1.3*M873*0.9*N869+S873*G869),4)</f>
        <v>16.881</v>
      </c>
      <c r="Y873" s="48">
        <f>ROUND((M873*J869+1.3*M873*N869+S873*G869),4)</f>
        <v>18.690000000000001</v>
      </c>
      <c r="Z873" s="49">
        <f>ROUND((P869*T873*F869*O869/1000000),4)</f>
        <v>9.2200000000000004E-2</v>
      </c>
      <c r="AA873" s="49">
        <f>ROUND((Q869*U873*F869*O869/1000000),4)</f>
        <v>2.0500000000000001E-2</v>
      </c>
      <c r="AB873" s="49">
        <f>ROUND((R869*V873*F869*O869/1000000),4)</f>
        <v>2.2800000000000001E-2</v>
      </c>
      <c r="AC873" s="50" t="s">
        <v>250</v>
      </c>
      <c r="AD873" s="51" t="s">
        <v>208</v>
      </c>
      <c r="AE873" s="44">
        <f>ROUND((((X873*E869)/1800)),4)</f>
        <v>9.4000000000000004E-3</v>
      </c>
      <c r="AF873" s="44">
        <f>ROUND(((Z873+AA873+AB873)),4)</f>
        <v>0.13550000000000001</v>
      </c>
    </row>
    <row r="874" spans="1:32" ht="12.95" customHeight="1" x14ac:dyDescent="0.25">
      <c r="A874" s="63"/>
      <c r="B874" s="72"/>
      <c r="C874" s="62"/>
      <c r="D874" s="56"/>
      <c r="E874" s="56"/>
      <c r="F874" s="56"/>
      <c r="G874" s="56"/>
      <c r="H874" s="56"/>
      <c r="I874" s="56"/>
      <c r="J874" s="56"/>
      <c r="K874" s="56"/>
      <c r="L874" s="59">
        <v>2.09</v>
      </c>
      <c r="M874" s="59">
        <v>2.5499999999999998</v>
      </c>
      <c r="N874" s="56"/>
      <c r="O874" s="56"/>
      <c r="P874" s="66"/>
      <c r="Q874" s="66"/>
      <c r="R874" s="66"/>
      <c r="S874" s="61">
        <v>3.91</v>
      </c>
      <c r="T874" s="48">
        <f>ROUND((L874*I869+1.3*L874*K869+S874*H869),4)</f>
        <v>2586.7905000000001</v>
      </c>
      <c r="U874" s="48">
        <f>ROUND((M874*0.9*I869+1.3*M874*0.9*K869+S874*H869),4)</f>
        <v>2817.5077999999999</v>
      </c>
      <c r="V874" s="48">
        <f>ROUND((M874*I869+1.3*M874*K869+S874*H869),4)</f>
        <v>3104.4974999999999</v>
      </c>
      <c r="W874" s="48">
        <f>ROUND((L874*J869+1.3*L874*N869+S874*G869),4)</f>
        <v>79.89</v>
      </c>
      <c r="X874" s="48">
        <f>ROUND((M874*0.9*J869+1.3*M874*0.9*N869+S874*G869),4)</f>
        <v>85.424999999999997</v>
      </c>
      <c r="Y874" s="48">
        <f>ROUND((M874*J869+1.3*M874*N869+S874*G869),4)</f>
        <v>92.31</v>
      </c>
      <c r="Z874" s="49">
        <f>ROUND((P869*T874*F869*O869/1000000),4)</f>
        <v>0.46560000000000001</v>
      </c>
      <c r="AA874" s="49">
        <f>ROUND((Q869*U874*F869*O869/1000000),4)</f>
        <v>8.4500000000000006E-2</v>
      </c>
      <c r="AB874" s="49">
        <f>ROUND((R869*V874*F869*O869/1000000),4)</f>
        <v>9.3100000000000002E-2</v>
      </c>
      <c r="AC874" s="50" t="s">
        <v>170</v>
      </c>
      <c r="AD874" s="51" t="s">
        <v>162</v>
      </c>
      <c r="AE874" s="44">
        <f>ROUND((((X874*E869)/1800)),4)</f>
        <v>4.7500000000000001E-2</v>
      </c>
      <c r="AF874" s="44">
        <f>ROUND(((Z874+AA874+AB874)),4)</f>
        <v>0.64319999999999999</v>
      </c>
    </row>
    <row r="875" spans="1:32" ht="12.95" customHeight="1" x14ac:dyDescent="0.25">
      <c r="A875" s="52"/>
      <c r="B875" s="46" t="s">
        <v>211</v>
      </c>
      <c r="C875" s="46">
        <v>6</v>
      </c>
      <c r="D875" s="45" t="s">
        <v>210</v>
      </c>
      <c r="E875" s="45">
        <v>1</v>
      </c>
      <c r="F875" s="45">
        <v>3</v>
      </c>
      <c r="G875" s="45">
        <v>6</v>
      </c>
      <c r="H875" s="45">
        <v>60</v>
      </c>
      <c r="I875" s="45">
        <f>(8-1-0.75*2)*60*F875-K875-8*0.12*60</f>
        <v>288.89999999999998</v>
      </c>
      <c r="J875" s="45">
        <v>14</v>
      </c>
      <c r="K875" s="45">
        <f>(8-1-0.75*2)*0.65*60*F875</f>
        <v>643.5</v>
      </c>
      <c r="L875" s="48">
        <v>6.47</v>
      </c>
      <c r="M875" s="48">
        <v>6.47</v>
      </c>
      <c r="N875" s="45">
        <v>10</v>
      </c>
      <c r="O875" s="45">
        <f>E875/F875</f>
        <v>0.33333333333333331</v>
      </c>
      <c r="P875" s="45">
        <v>180</v>
      </c>
      <c r="Q875" s="45">
        <v>30</v>
      </c>
      <c r="R875" s="47">
        <v>30</v>
      </c>
      <c r="S875" s="47">
        <v>1.27</v>
      </c>
      <c r="T875" s="48">
        <f>ROUND((L875*I875+1.3*L875*K875+S875*H875),4)</f>
        <v>7357.8615</v>
      </c>
      <c r="U875" s="48">
        <f>ROUND((M875*I875+1.3*M875*K875+S875*H875),4)</f>
        <v>7357.8615</v>
      </c>
      <c r="V875" s="48">
        <f>ROUND((M875*I875+1.3*M875*K875+S875*H875),4)</f>
        <v>7357.8615</v>
      </c>
      <c r="W875" s="48">
        <f>ROUND((L875*J875+1.3*L875*N875+S875*G875),4)</f>
        <v>182.31</v>
      </c>
      <c r="X875" s="48">
        <f>ROUND((M875*J875+1.3*M875*N875+S875*G875),4)</f>
        <v>182.31</v>
      </c>
      <c r="Y875" s="48">
        <f>ROUND((M875*J875+1.3*M875*N875+S875*G875),4)</f>
        <v>182.31</v>
      </c>
      <c r="Z875" s="49">
        <f>ROUND((P875*T875*F875*O875/1000000),4)</f>
        <v>1.3244</v>
      </c>
      <c r="AA875" s="49">
        <f>ROUND((Q875*U875*F875*O875/1000000),4)</f>
        <v>0.22070000000000001</v>
      </c>
      <c r="AB875" s="49">
        <f>ROUND((R875*V875*F875*O875/1000000),4)</f>
        <v>0.22070000000000001</v>
      </c>
      <c r="AC875" s="50" t="s">
        <v>200</v>
      </c>
      <c r="AD875" s="51" t="s">
        <v>153</v>
      </c>
      <c r="AE875" s="44">
        <f>ROUND((((X875*E875)/1800)*0.8),4)</f>
        <v>8.1000000000000003E-2</v>
      </c>
      <c r="AF875" s="44">
        <f>ROUND(((Z875+AA875+AB875)*0.8),4)</f>
        <v>1.4126000000000001</v>
      </c>
    </row>
    <row r="876" spans="1:32" ht="12.95" customHeight="1" x14ac:dyDescent="0.25">
      <c r="A876" s="52"/>
      <c r="B876" s="53" t="s">
        <v>213</v>
      </c>
      <c r="C876" s="52"/>
      <c r="D876" s="52"/>
      <c r="E876" s="63"/>
      <c r="F876" s="52"/>
      <c r="G876" s="52"/>
      <c r="H876" s="52"/>
      <c r="I876" s="52"/>
      <c r="J876" s="52"/>
      <c r="K876" s="52"/>
      <c r="L876" s="56"/>
      <c r="M876" s="56"/>
      <c r="N876" s="52"/>
      <c r="O876" s="52"/>
      <c r="P876" s="63"/>
      <c r="Q876" s="63"/>
      <c r="R876" s="63"/>
      <c r="S876" s="57"/>
      <c r="T876" s="54"/>
      <c r="U876" s="54"/>
      <c r="V876" s="54"/>
      <c r="W876" s="54"/>
      <c r="X876" s="54"/>
      <c r="Y876" s="54"/>
      <c r="Z876" s="54"/>
      <c r="AA876" s="54"/>
      <c r="AB876" s="54"/>
      <c r="AC876" s="50" t="s">
        <v>201</v>
      </c>
      <c r="AD876" s="51" t="s">
        <v>202</v>
      </c>
      <c r="AE876" s="44">
        <f>ROUND((((X875*E875)/1800)*0.13),4)</f>
        <v>1.32E-2</v>
      </c>
      <c r="AF876" s="44">
        <f>ROUND(((Z875+AA875+AB875)*0.13),4)</f>
        <v>0.2296</v>
      </c>
    </row>
    <row r="877" spans="1:32" ht="12.95" customHeight="1" x14ac:dyDescent="0.25">
      <c r="A877" s="52"/>
      <c r="B877" s="98"/>
      <c r="C877" s="55"/>
      <c r="D877" s="55"/>
      <c r="E877" s="63"/>
      <c r="F877" s="63"/>
      <c r="G877" s="52"/>
      <c r="H877" s="52"/>
      <c r="I877" s="52"/>
      <c r="J877" s="52"/>
      <c r="K877" s="52"/>
      <c r="L877" s="59">
        <v>0.51</v>
      </c>
      <c r="M877" s="59">
        <v>0.63</v>
      </c>
      <c r="N877" s="52"/>
      <c r="O877" s="52"/>
      <c r="P877" s="63"/>
      <c r="Q877" s="63"/>
      <c r="R877" s="63"/>
      <c r="S877" s="60">
        <v>0.25</v>
      </c>
      <c r="T877" s="48">
        <f>ROUND((L877*I875+1.3*L877*K875+S877*H875),4)</f>
        <v>588.97950000000003</v>
      </c>
      <c r="U877" s="48">
        <f>ROUND((M877*0.9*I875+1.3*M877*0.9*K875+S877*H875),4)</f>
        <v>653.13019999999995</v>
      </c>
      <c r="V877" s="48">
        <f>ROUND((M877*I875+1.3*M877*K875+S877*H875),4)</f>
        <v>724.0335</v>
      </c>
      <c r="W877" s="48">
        <f>ROUND((L877*J875+1.3*L877*N875+S877*G875),4)</f>
        <v>15.27</v>
      </c>
      <c r="X877" s="48">
        <f>ROUND((M877*0.9*J875+1.3*M877*0.9*N875+S877*G875),4)</f>
        <v>16.809000000000001</v>
      </c>
      <c r="Y877" s="48">
        <f>ROUND((M877*J875+1.3*M877*N875+S877*G875),4)</f>
        <v>18.510000000000002</v>
      </c>
      <c r="Z877" s="49">
        <f>ROUND((P875*T877*F875*O875/1000000),4)</f>
        <v>0.106</v>
      </c>
      <c r="AA877" s="49">
        <f>ROUND((Q875*U877*F875*O875/1000000),4)</f>
        <v>1.9599999999999999E-2</v>
      </c>
      <c r="AB877" s="49">
        <f>ROUND((R875*V877*F875*O875/1000000),4)</f>
        <v>2.1700000000000001E-2</v>
      </c>
      <c r="AC877" s="50" t="s">
        <v>203</v>
      </c>
      <c r="AD877" s="51" t="s">
        <v>204</v>
      </c>
      <c r="AE877" s="44">
        <f>ROUND((((X877*E875)/1800)),4)</f>
        <v>9.2999999999999992E-3</v>
      </c>
      <c r="AF877" s="44">
        <f>ROUND(((Z877+AA877+AB877)),5)</f>
        <v>0.14729999999999999</v>
      </c>
    </row>
    <row r="878" spans="1:32" ht="12.95" customHeight="1" x14ac:dyDescent="0.25">
      <c r="A878" s="52"/>
      <c r="B878" s="53"/>
      <c r="C878" s="52"/>
      <c r="D878" s="52"/>
      <c r="E878" s="63"/>
      <c r="F878" s="63"/>
      <c r="G878" s="52"/>
      <c r="H878" s="52"/>
      <c r="I878" s="52"/>
      <c r="J878" s="52"/>
      <c r="K878" s="52"/>
      <c r="L878" s="59">
        <v>1.1399999999999999</v>
      </c>
      <c r="M878" s="59">
        <v>1.37</v>
      </c>
      <c r="N878" s="52"/>
      <c r="O878" s="52"/>
      <c r="P878" s="63"/>
      <c r="Q878" s="63"/>
      <c r="R878" s="63"/>
      <c r="S878" s="61">
        <v>0.79</v>
      </c>
      <c r="T878" s="48">
        <f>ROUND((L878*I875+1.3*L878*K875+S878*H875),4)</f>
        <v>1330.413</v>
      </c>
      <c r="U878" s="48">
        <f>ROUND((M878*0.9*I875+1.3*M878*0.9*K875+S878*H875),4)</f>
        <v>1435.0799</v>
      </c>
      <c r="V878" s="48">
        <f>ROUND((M878*I875+1.3*M878*K875+S878*H875),4)</f>
        <v>1589.2665</v>
      </c>
      <c r="W878" s="48">
        <f>ROUND((L878*J875+1.3*L878*N875+S878*G875),4)</f>
        <v>35.520000000000003</v>
      </c>
      <c r="X878" s="48">
        <f>ROUND((M878*0.9*J875+1.3*M878*0.9*N875+S878*G875),4)</f>
        <v>38.030999999999999</v>
      </c>
      <c r="Y878" s="48">
        <f>ROUND((M878*J875+1.3*N875+S878*G875),4)</f>
        <v>36.92</v>
      </c>
      <c r="Z878" s="49">
        <f>ROUND((P875*T878*F875*O875/1000000),4)</f>
        <v>0.23949999999999999</v>
      </c>
      <c r="AA878" s="49">
        <f>ROUND((Q875*U878*F875*O875/1000000),4)</f>
        <v>4.3099999999999999E-2</v>
      </c>
      <c r="AB878" s="49">
        <f>ROUND((R875*V878*F875*O875/1000000),4)</f>
        <v>4.7699999999999999E-2</v>
      </c>
      <c r="AC878" s="50" t="s">
        <v>205</v>
      </c>
      <c r="AD878" s="51" t="s">
        <v>206</v>
      </c>
      <c r="AE878" s="44">
        <f>ROUND((((X878*E875)/1800)),4)</f>
        <v>2.1100000000000001E-2</v>
      </c>
      <c r="AF878" s="44">
        <f>ROUND(((Z878+AA878+AB878)),4)</f>
        <v>0.33029999999999998</v>
      </c>
    </row>
    <row r="879" spans="1:32" ht="12.95" customHeight="1" x14ac:dyDescent="0.25">
      <c r="A879" s="52"/>
      <c r="B879" s="53"/>
      <c r="C879" s="52"/>
      <c r="D879" s="52"/>
      <c r="E879" s="63"/>
      <c r="F879" s="63"/>
      <c r="G879" s="52"/>
      <c r="H879" s="52"/>
      <c r="I879" s="52"/>
      <c r="J879" s="52"/>
      <c r="K879" s="52"/>
      <c r="L879" s="59">
        <v>0.72</v>
      </c>
      <c r="M879" s="59">
        <v>1.08</v>
      </c>
      <c r="N879" s="52"/>
      <c r="O879" s="52"/>
      <c r="P879" s="63"/>
      <c r="Q879" s="63"/>
      <c r="R879" s="63"/>
      <c r="S879" s="61">
        <v>0.17</v>
      </c>
      <c r="T879" s="48">
        <f>ROUND((L879*I875+1.3*L879*K875+S879*H875),4)</f>
        <v>820.524</v>
      </c>
      <c r="U879" s="48">
        <f>ROUND((M879*0.9*I875+1.3*M879*0.9*K875+S879*H875),4)</f>
        <v>1104.1374000000001</v>
      </c>
      <c r="V879" s="48">
        <f>ROUND((M879*I875+1.3*M879*K875+S879*H875),4)</f>
        <v>1225.6859999999999</v>
      </c>
      <c r="W879" s="48">
        <f>ROUND((L879*J875+1.3*L879*N875+S879*G875),4)</f>
        <v>20.46</v>
      </c>
      <c r="X879" s="48">
        <f>ROUND((M879*0.9*J875+1.3*M879*0.9*N875+S879*G875),4)</f>
        <v>27.263999999999999</v>
      </c>
      <c r="Y879" s="48">
        <f>ROUND((M879*J875+1.3*M879*N875+S879*G875),4)</f>
        <v>30.18</v>
      </c>
      <c r="Z879" s="49">
        <f>ROUND((P875*T879*F875*O875/1000000),4)</f>
        <v>0.1477</v>
      </c>
      <c r="AA879" s="49">
        <f>ROUND((Q875*U879*F875*O875/1000000),4)</f>
        <v>3.3099999999999997E-2</v>
      </c>
      <c r="AB879" s="49">
        <f>ROUND((R875*V879*F875*O875/1000000),4)</f>
        <v>3.6799999999999999E-2</v>
      </c>
      <c r="AC879" s="50" t="s">
        <v>250</v>
      </c>
      <c r="AD879" s="51" t="s">
        <v>208</v>
      </c>
      <c r="AE879" s="44">
        <f>ROUND((((X879*E875)/1800)),4)</f>
        <v>1.5100000000000001E-2</v>
      </c>
      <c r="AF879" s="44">
        <f>ROUND(((Z879+AA879+AB879)),4)</f>
        <v>0.21759999999999999</v>
      </c>
    </row>
    <row r="880" spans="1:32" ht="12.95" customHeight="1" x14ac:dyDescent="0.25">
      <c r="A880" s="52"/>
      <c r="B880" s="62"/>
      <c r="C880" s="56"/>
      <c r="D880" s="56"/>
      <c r="E880" s="66"/>
      <c r="F880" s="66"/>
      <c r="G880" s="56"/>
      <c r="H880" s="56"/>
      <c r="I880" s="56"/>
      <c r="J880" s="56"/>
      <c r="K880" s="56"/>
      <c r="L880" s="59">
        <v>3.37</v>
      </c>
      <c r="M880" s="59">
        <v>4.1100000000000003</v>
      </c>
      <c r="N880" s="56"/>
      <c r="O880" s="56"/>
      <c r="P880" s="66"/>
      <c r="Q880" s="66"/>
      <c r="R880" s="66"/>
      <c r="S880" s="61">
        <v>6.31</v>
      </c>
      <c r="T880" s="48">
        <f>ROUND((L880*I875+1.3*L880*K875+S880*H875),4)</f>
        <v>4171.3665000000001</v>
      </c>
      <c r="U880" s="48">
        <f>ROUND((M880*0.9*I875+1.3*M880*0.9*K875+S880*H875),4)</f>
        <v>4541.6396000000004</v>
      </c>
      <c r="V880" s="48">
        <f>ROUND((M880*I875+1.3*M880*K875+S880*H875),4)</f>
        <v>5004.1994999999997</v>
      </c>
      <c r="W880" s="48">
        <f>ROUND((L880*J875+1.3*L880*N875+S880*G875),4)</f>
        <v>128.85</v>
      </c>
      <c r="X880" s="48">
        <f>ROUND((M880*0.9*J875+1.3*M880*0.9*N875+S880*G875),4)</f>
        <v>137.733</v>
      </c>
      <c r="Y880" s="48">
        <f>ROUND((M880*J875+1.3*M880*N875+S880*G875),4)</f>
        <v>148.83000000000001</v>
      </c>
      <c r="Z880" s="49">
        <f>ROUND((P875*T880*F875*O875/1000000),4)</f>
        <v>0.75080000000000002</v>
      </c>
      <c r="AA880" s="49">
        <f>ROUND((Q875*U880*F875*O875/1000000),4)</f>
        <v>0.13619999999999999</v>
      </c>
      <c r="AB880" s="49">
        <f>ROUND((R875*V880*F875*O875/1000000),4)</f>
        <v>0.15010000000000001</v>
      </c>
      <c r="AC880" s="50" t="s">
        <v>170</v>
      </c>
      <c r="AD880" s="51" t="s">
        <v>162</v>
      </c>
      <c r="AE880" s="44">
        <f>ROUND((((X880*E875)/1800)),4)</f>
        <v>7.6499999999999999E-2</v>
      </c>
      <c r="AF880" s="44">
        <f>ROUND(((Z880+AA880+AB880)),4)</f>
        <v>1.0370999999999999</v>
      </c>
    </row>
    <row r="881" spans="1:32" ht="12.95" customHeight="1" x14ac:dyDescent="0.25">
      <c r="A881" s="52"/>
      <c r="B881" s="67" t="s">
        <v>214</v>
      </c>
      <c r="C881" s="46">
        <v>6</v>
      </c>
      <c r="D881" s="45" t="s">
        <v>210</v>
      </c>
      <c r="E881" s="45">
        <v>1</v>
      </c>
      <c r="F881" s="45">
        <v>4</v>
      </c>
      <c r="G881" s="45">
        <v>6</v>
      </c>
      <c r="H881" s="45">
        <v>60</v>
      </c>
      <c r="I881" s="45">
        <f>(8-1-0.75*2)*60*F881-K881-8*0.12*60</f>
        <v>404.4</v>
      </c>
      <c r="J881" s="45">
        <v>14</v>
      </c>
      <c r="K881" s="45">
        <f>(8-1-0.75*2)*0.65*60*F881</f>
        <v>858</v>
      </c>
      <c r="L881" s="48">
        <v>6.47</v>
      </c>
      <c r="M881" s="48">
        <v>6.47</v>
      </c>
      <c r="N881" s="45">
        <v>10</v>
      </c>
      <c r="O881" s="45">
        <f>E881/F881</f>
        <v>0.25</v>
      </c>
      <c r="P881" s="45">
        <v>180</v>
      </c>
      <c r="Q881" s="45">
        <v>30</v>
      </c>
      <c r="R881" s="47">
        <v>0</v>
      </c>
      <c r="S881" s="47">
        <v>1.27</v>
      </c>
      <c r="T881" s="48">
        <f>ROUND((L881*I881+1.3*L881*K881+S881*H881),4)</f>
        <v>9909.3060000000005</v>
      </c>
      <c r="U881" s="48">
        <f>ROUND((M881*I881+1.3*M881*K881+S881*H881),4)</f>
        <v>9909.3060000000005</v>
      </c>
      <c r="V881" s="48">
        <f>ROUND((M881*I881+1.3*M881*K881+S881*H881),4)</f>
        <v>9909.3060000000005</v>
      </c>
      <c r="W881" s="48">
        <f>ROUND((L881*J881+1.3*L881*N881+S881*G881),4)</f>
        <v>182.31</v>
      </c>
      <c r="X881" s="48">
        <f>ROUND((M881*J881+1.3*M881*N881+S881*G881),4)</f>
        <v>182.31</v>
      </c>
      <c r="Y881" s="48">
        <f>ROUND((M881*J881+1.3*M881*N881+S881*G881),4)</f>
        <v>182.31</v>
      </c>
      <c r="Z881" s="49">
        <f>ROUND((P881*T881*F881*O881/1000000),4)</f>
        <v>1.7837000000000001</v>
      </c>
      <c r="AA881" s="49">
        <f>ROUND((Q881*U881*F881*O881/1000000),4)</f>
        <v>0.29730000000000001</v>
      </c>
      <c r="AB881" s="49">
        <f>ROUND((R881*V881*F881*O881/1000000),4)</f>
        <v>0</v>
      </c>
      <c r="AC881" s="50" t="s">
        <v>200</v>
      </c>
      <c r="AD881" s="51" t="s">
        <v>153</v>
      </c>
      <c r="AE881" s="44">
        <f>ROUND((((X881*E881)/1800)*0.8),4)</f>
        <v>8.1000000000000003E-2</v>
      </c>
      <c r="AF881" s="44">
        <f>ROUND(((Z881+AA881+AB881)*0.8),4)</f>
        <v>1.6648000000000001</v>
      </c>
    </row>
    <row r="882" spans="1:32" ht="12.95" customHeight="1" x14ac:dyDescent="0.25">
      <c r="A882" s="52"/>
      <c r="B882" s="53" t="s">
        <v>215</v>
      </c>
      <c r="C882" s="52"/>
      <c r="D882" s="52"/>
      <c r="E882" s="52"/>
      <c r="F882" s="52"/>
      <c r="G882" s="52"/>
      <c r="H882" s="52"/>
      <c r="I882" s="52"/>
      <c r="J882" s="52"/>
      <c r="K882" s="52"/>
      <c r="L882" s="56"/>
      <c r="M882" s="56"/>
      <c r="N882" s="52"/>
      <c r="O882" s="52"/>
      <c r="P882" s="63"/>
      <c r="Q882" s="63"/>
      <c r="R882" s="52"/>
      <c r="S882" s="57"/>
      <c r="T882" s="54"/>
      <c r="U882" s="54"/>
      <c r="V882" s="54"/>
      <c r="W882" s="54"/>
      <c r="X882" s="54"/>
      <c r="Y882" s="54"/>
      <c r="Z882" s="54"/>
      <c r="AA882" s="54"/>
      <c r="AB882" s="54"/>
      <c r="AC882" s="50" t="s">
        <v>201</v>
      </c>
      <c r="AD882" s="51" t="s">
        <v>202</v>
      </c>
      <c r="AE882" s="44">
        <f>ROUND((((X881*E881)/1800)*0.13),4)</f>
        <v>1.32E-2</v>
      </c>
      <c r="AF882" s="44">
        <f>ROUND(((Z881+AA881+AB881)*0.13),4)</f>
        <v>0.27050000000000002</v>
      </c>
    </row>
    <row r="883" spans="1:32" ht="12.95" customHeight="1" x14ac:dyDescent="0.25">
      <c r="A883" s="52"/>
      <c r="B883" s="88"/>
      <c r="C883" s="55"/>
      <c r="D883" s="55"/>
      <c r="E883" s="52"/>
      <c r="F883" s="52"/>
      <c r="G883" s="52"/>
      <c r="H883" s="52"/>
      <c r="I883" s="52"/>
      <c r="J883" s="52"/>
      <c r="K883" s="52"/>
      <c r="L883" s="59">
        <v>0.51</v>
      </c>
      <c r="M883" s="59">
        <v>0.63</v>
      </c>
      <c r="N883" s="52"/>
      <c r="O883" s="52"/>
      <c r="P883" s="63"/>
      <c r="Q883" s="63"/>
      <c r="R883" s="52"/>
      <c r="S883" s="60">
        <v>0.25</v>
      </c>
      <c r="T883" s="48">
        <f>ROUND((L883*I881+1.3*L883*K881+S883*H881),4)</f>
        <v>790.09799999999996</v>
      </c>
      <c r="U883" s="48">
        <f>ROUND((M883*0.9*I881+1.3*M883*0.9*K881+S883*H881),4)</f>
        <v>876.72659999999996</v>
      </c>
      <c r="V883" s="48">
        <f>ROUND((M883*I881+1.3*M883*K881+S883*H881),4)</f>
        <v>972.47400000000005</v>
      </c>
      <c r="W883" s="48">
        <f>ROUND((L883*J881+1.3*L883*N881+S883*G881),4)</f>
        <v>15.27</v>
      </c>
      <c r="X883" s="48">
        <f>ROUND((M883*0.9*J881+1.3*M883*0.9*N881+S883*G881),4)</f>
        <v>16.809000000000001</v>
      </c>
      <c r="Y883" s="48">
        <f>ROUND((M883*J881+1.3*M883*N881+S883*G881),4)</f>
        <v>18.510000000000002</v>
      </c>
      <c r="Z883" s="49">
        <f>ROUND((P881*T883*F881*O881/1000000),4)</f>
        <v>0.14219999999999999</v>
      </c>
      <c r="AA883" s="49">
        <f>ROUND((Q881*U883*F881*O881/1000000),4)</f>
        <v>2.63E-2</v>
      </c>
      <c r="AB883" s="49">
        <f>ROUND((R881*V883*F881*O881/1000000),4)</f>
        <v>0</v>
      </c>
      <c r="AC883" s="50" t="s">
        <v>203</v>
      </c>
      <c r="AD883" s="51" t="s">
        <v>204</v>
      </c>
      <c r="AE883" s="44">
        <f>ROUND((((X883*E881)/1800)),4)</f>
        <v>9.2999999999999992E-3</v>
      </c>
      <c r="AF883" s="44">
        <f>ROUND(((Z883+AA883+AB883)),5)</f>
        <v>0.16850000000000001</v>
      </c>
    </row>
    <row r="884" spans="1:32" ht="12.95" customHeight="1" x14ac:dyDescent="0.25">
      <c r="A884" s="52"/>
      <c r="B884" s="88"/>
      <c r="C884" s="52"/>
      <c r="D884" s="52"/>
      <c r="E884" s="52"/>
      <c r="F884" s="52"/>
      <c r="G884" s="52"/>
      <c r="H884" s="52"/>
      <c r="I884" s="52"/>
      <c r="J884" s="52"/>
      <c r="K884" s="52"/>
      <c r="L884" s="59">
        <v>1.1399999999999999</v>
      </c>
      <c r="M884" s="59">
        <v>1.37</v>
      </c>
      <c r="N884" s="52"/>
      <c r="O884" s="52"/>
      <c r="P884" s="63"/>
      <c r="Q884" s="63"/>
      <c r="R884" s="52"/>
      <c r="S884" s="61">
        <v>0.79</v>
      </c>
      <c r="T884" s="48">
        <f>ROUND((L884*I881+1.3*L884*K881+S884*H881),4)</f>
        <v>1779.972</v>
      </c>
      <c r="U884" s="48">
        <f>ROUND((M884*0.9*I881+1.3*M884*0.9*K881+S884*H881),4)</f>
        <v>1921.3134</v>
      </c>
      <c r="V884" s="48">
        <f>ROUND((M884*I881+1.3*M884*K881+S884*H881),4)</f>
        <v>2129.5259999999998</v>
      </c>
      <c r="W884" s="48">
        <f>ROUND((L884*J881+1.3*L884*N881+S884*G881),4)</f>
        <v>35.520000000000003</v>
      </c>
      <c r="X884" s="48">
        <f>ROUND((M884*0.9*J881+1.3*M884*0.9*N881+S884*G881),4)</f>
        <v>38.030999999999999</v>
      </c>
      <c r="Y884" s="48">
        <f>ROUND((M884*J881+1.3*N881+S884*G881),4)</f>
        <v>36.92</v>
      </c>
      <c r="Z884" s="49">
        <f>ROUND((P881*T884*F881*O881/1000000),4)</f>
        <v>0.32040000000000002</v>
      </c>
      <c r="AA884" s="49">
        <f>ROUND((Q881*U884*F881*O881/1000000),4)</f>
        <v>5.7599999999999998E-2</v>
      </c>
      <c r="AB884" s="49">
        <f>ROUND((R881*V884*F881*O881/1000000),4)</f>
        <v>0</v>
      </c>
      <c r="AC884" s="50" t="s">
        <v>205</v>
      </c>
      <c r="AD884" s="51" t="s">
        <v>206</v>
      </c>
      <c r="AE884" s="44">
        <f>ROUND((((X884*E881)/1800)),4)</f>
        <v>2.1100000000000001E-2</v>
      </c>
      <c r="AF884" s="44">
        <f>ROUND(((Z884+AA884+AB884)),4)</f>
        <v>0.378</v>
      </c>
    </row>
    <row r="885" spans="1:32" ht="12.95" customHeight="1" x14ac:dyDescent="0.25">
      <c r="A885" s="52"/>
      <c r="B885" s="53"/>
      <c r="C885" s="52"/>
      <c r="D885" s="52"/>
      <c r="E885" s="52"/>
      <c r="F885" s="52"/>
      <c r="G885" s="52"/>
      <c r="H885" s="52"/>
      <c r="I885" s="52"/>
      <c r="J885" s="52"/>
      <c r="K885" s="52"/>
      <c r="L885" s="59">
        <v>0.72</v>
      </c>
      <c r="M885" s="59">
        <v>1.08</v>
      </c>
      <c r="N885" s="52"/>
      <c r="O885" s="52"/>
      <c r="P885" s="63"/>
      <c r="Q885" s="63"/>
      <c r="R885" s="52"/>
      <c r="S885" s="61">
        <v>0.17</v>
      </c>
      <c r="T885" s="48">
        <f>ROUND((L885*I881+1.3*L885*K881+S885*H881),4)</f>
        <v>1104.4559999999999</v>
      </c>
      <c r="U885" s="48">
        <f>ROUND((M885*0.9*I881+1.3*M885*0.9*K881+S885*H881),4)</f>
        <v>1487.4456</v>
      </c>
      <c r="V885" s="48">
        <f>ROUND((M885*I881+1.3*M885*K881+S885*H881),4)</f>
        <v>1651.5840000000001</v>
      </c>
      <c r="W885" s="48">
        <f>ROUND((L885*J881+1.3*L885*N881+S885*G881),4)</f>
        <v>20.46</v>
      </c>
      <c r="X885" s="48">
        <f>ROUND((M885*0.9*J881+1.3*M885*0.9*N881+S885*G881),4)</f>
        <v>27.263999999999999</v>
      </c>
      <c r="Y885" s="48">
        <f>ROUND((M885*J881+1.3*M885*N881+S885*G881),4)</f>
        <v>30.18</v>
      </c>
      <c r="Z885" s="49">
        <f>ROUND((P881*T885*F881*O881/1000000),4)</f>
        <v>0.1988</v>
      </c>
      <c r="AA885" s="49">
        <f>ROUND((Q881*U885*F881*O881/1000000),4)</f>
        <v>4.4600000000000001E-2</v>
      </c>
      <c r="AB885" s="49">
        <f>ROUND((R881*V885*F881*O881/1000000),4)</f>
        <v>0</v>
      </c>
      <c r="AC885" s="50" t="s">
        <v>250</v>
      </c>
      <c r="AD885" s="51" t="s">
        <v>208</v>
      </c>
      <c r="AE885" s="44">
        <f>ROUND((((X885*E881)/1800)),4)</f>
        <v>1.5100000000000001E-2</v>
      </c>
      <c r="AF885" s="44">
        <f>ROUND(((Z885+AA885+AB885)),4)</f>
        <v>0.24340000000000001</v>
      </c>
    </row>
    <row r="886" spans="1:32" ht="12.95" customHeight="1" x14ac:dyDescent="0.25">
      <c r="A886" s="52"/>
      <c r="B886" s="62"/>
      <c r="C886" s="56"/>
      <c r="D886" s="56"/>
      <c r="E886" s="56"/>
      <c r="F886" s="56"/>
      <c r="G886" s="56"/>
      <c r="H886" s="56"/>
      <c r="I886" s="56"/>
      <c r="J886" s="56"/>
      <c r="K886" s="56"/>
      <c r="L886" s="59">
        <v>3.37</v>
      </c>
      <c r="M886" s="59">
        <v>4.1100000000000003</v>
      </c>
      <c r="N886" s="56"/>
      <c r="O886" s="56"/>
      <c r="P886" s="66"/>
      <c r="Q886" s="66"/>
      <c r="R886" s="56"/>
      <c r="S886" s="61">
        <v>6.31</v>
      </c>
      <c r="T886" s="48">
        <f>ROUND((L886*I881+1.3*L886*K881+S886*H881),4)</f>
        <v>5500.326</v>
      </c>
      <c r="U886" s="48">
        <f>ROUND((M886*0.9*I881+1.3*M886*0.9*K881+S886*H881),4)</f>
        <v>6000.3401999999996</v>
      </c>
      <c r="V886" s="48">
        <f>ROUND((M886*I881+1.3*M886*K881+S886*H881),4)</f>
        <v>6624.9780000000001</v>
      </c>
      <c r="W886" s="48">
        <f>ROUND((L886*J881+1.3*L886*N881+S886*G881),4)</f>
        <v>128.85</v>
      </c>
      <c r="X886" s="48">
        <f>ROUND((M886*0.9*J881+1.3*M886*0.9*N881+S886*G881),4)</f>
        <v>137.733</v>
      </c>
      <c r="Y886" s="48">
        <f>ROUND((M886*J881+1.3*M886*N881+S886*G881),4)</f>
        <v>148.83000000000001</v>
      </c>
      <c r="Z886" s="49">
        <f>ROUND((P881*T886*F881*O881/1000000),4)</f>
        <v>0.99009999999999998</v>
      </c>
      <c r="AA886" s="49">
        <f>ROUND((Q881*U886*F881*O881/1000000),4)</f>
        <v>0.18</v>
      </c>
      <c r="AB886" s="49">
        <f>ROUND((R881*V886*F881*O881/1000000),4)</f>
        <v>0</v>
      </c>
      <c r="AC886" s="50" t="s">
        <v>170</v>
      </c>
      <c r="AD886" s="51" t="s">
        <v>162</v>
      </c>
      <c r="AE886" s="44">
        <f>ROUND((((X886*E881)/1800)),4)</f>
        <v>7.6499999999999999E-2</v>
      </c>
      <c r="AF886" s="44">
        <f>ROUND(((Z886+AA886+AB886)),4)</f>
        <v>1.1700999999999999</v>
      </c>
    </row>
    <row r="887" spans="1:32" ht="12.95" customHeight="1" x14ac:dyDescent="0.25">
      <c r="A887" s="52"/>
      <c r="B887" s="67" t="s">
        <v>214</v>
      </c>
      <c r="C887" s="46">
        <v>7</v>
      </c>
      <c r="D887" s="45" t="s">
        <v>217</v>
      </c>
      <c r="E887" s="45">
        <v>1</v>
      </c>
      <c r="F887" s="45">
        <v>4</v>
      </c>
      <c r="G887" s="45">
        <v>6</v>
      </c>
      <c r="H887" s="45">
        <v>60</v>
      </c>
      <c r="I887" s="45">
        <f>(8-1-0.75*2)*60*F887-K887-8*0.12*60</f>
        <v>404.4</v>
      </c>
      <c r="J887" s="45">
        <v>14</v>
      </c>
      <c r="K887" s="45">
        <f>(8-1-0.75*2)*0.65*60*F887</f>
        <v>858</v>
      </c>
      <c r="L887" s="48">
        <v>10.16</v>
      </c>
      <c r="M887" s="48">
        <v>10.16</v>
      </c>
      <c r="N887" s="45">
        <v>10</v>
      </c>
      <c r="O887" s="45">
        <f>E887/F887</f>
        <v>0.25</v>
      </c>
      <c r="P887" s="45">
        <v>180</v>
      </c>
      <c r="Q887" s="45">
        <v>60</v>
      </c>
      <c r="R887" s="47">
        <v>0</v>
      </c>
      <c r="S887" s="47">
        <v>1.99</v>
      </c>
      <c r="T887" s="48">
        <f>ROUND((L887*I887+1.3*L887*K887+S887*H887),4)</f>
        <v>15560.567999999999</v>
      </c>
      <c r="U887" s="48">
        <f>ROUND((M887*I887+1.3*M887*K887+S887*H887),4)</f>
        <v>15560.567999999999</v>
      </c>
      <c r="V887" s="48">
        <f>ROUND((M887*I887+1.3*M887*K887+S887*H887),4)</f>
        <v>15560.567999999999</v>
      </c>
      <c r="W887" s="48">
        <f>ROUND((L887*J887+1.3*L887*N887+S887*G887),4)</f>
        <v>286.26</v>
      </c>
      <c r="X887" s="48">
        <f>ROUND((M887*J887+1.3*M887*N887+S887*G887),4)</f>
        <v>286.26</v>
      </c>
      <c r="Y887" s="48">
        <f>ROUND((M887*J887+1.3*M887*N887+S887*G887),4)</f>
        <v>286.26</v>
      </c>
      <c r="Z887" s="49">
        <f>ROUND((P887*T887*F887*O887/1000000),4)</f>
        <v>2.8008999999999999</v>
      </c>
      <c r="AA887" s="49">
        <f>ROUND((Q887*U887*F887*O887/1000000),4)</f>
        <v>0.93359999999999999</v>
      </c>
      <c r="AB887" s="49">
        <f>ROUND((R887*V887*F887*O887/1000000),4)</f>
        <v>0</v>
      </c>
      <c r="AC887" s="50" t="s">
        <v>200</v>
      </c>
      <c r="AD887" s="51" t="s">
        <v>153</v>
      </c>
      <c r="AE887" s="44">
        <f>ROUND((((X887*E887)/1800)*0.8),4)</f>
        <v>0.12720000000000001</v>
      </c>
      <c r="AF887" s="44">
        <f>ROUND(((Z887+AA887+AB887)*0.8),4)</f>
        <v>2.9876</v>
      </c>
    </row>
    <row r="888" spans="1:32" ht="12.95" customHeight="1" x14ac:dyDescent="0.25">
      <c r="A888" s="52"/>
      <c r="B888" s="53" t="s">
        <v>216</v>
      </c>
      <c r="C888" s="52"/>
      <c r="D888" s="52"/>
      <c r="E888" s="52"/>
      <c r="F888" s="52"/>
      <c r="G888" s="52"/>
      <c r="H888" s="52"/>
      <c r="I888" s="52"/>
      <c r="J888" s="52"/>
      <c r="K888" s="52"/>
      <c r="L888" s="56"/>
      <c r="M888" s="56"/>
      <c r="N888" s="52"/>
      <c r="O888" s="52"/>
      <c r="P888" s="52"/>
      <c r="Q888" s="52"/>
      <c r="R888" s="52"/>
      <c r="S888" s="57"/>
      <c r="T888" s="54"/>
      <c r="U888" s="54"/>
      <c r="V888" s="54"/>
      <c r="W888" s="54"/>
      <c r="X888" s="54"/>
      <c r="Y888" s="54"/>
      <c r="Z888" s="54"/>
      <c r="AA888" s="54"/>
      <c r="AB888" s="54"/>
      <c r="AC888" s="50" t="s">
        <v>201</v>
      </c>
      <c r="AD888" s="51" t="s">
        <v>202</v>
      </c>
      <c r="AE888" s="44">
        <f>ROUND((((X887*E887)/1800)*0.13),4)</f>
        <v>2.07E-2</v>
      </c>
      <c r="AF888" s="44">
        <f>ROUND(((Z887+AA887+AB887)*0.13),4)</f>
        <v>0.48549999999999999</v>
      </c>
    </row>
    <row r="889" spans="1:32" ht="12.95" customHeight="1" x14ac:dyDescent="0.25">
      <c r="A889" s="52"/>
      <c r="B889" s="88"/>
      <c r="C889" s="55"/>
      <c r="D889" s="55"/>
      <c r="E889" s="52"/>
      <c r="F889" s="63"/>
      <c r="G889" s="52"/>
      <c r="H889" s="52"/>
      <c r="I889" s="52"/>
      <c r="J889" s="52"/>
      <c r="K889" s="52"/>
      <c r="L889" s="59">
        <v>0.8</v>
      </c>
      <c r="M889" s="59">
        <v>0.98</v>
      </c>
      <c r="N889" s="52"/>
      <c r="O889" s="52"/>
      <c r="P889" s="52"/>
      <c r="Q889" s="52"/>
      <c r="R889" s="52"/>
      <c r="S889" s="60">
        <v>0.39</v>
      </c>
      <c r="T889" s="48">
        <f>ROUND((L889*I887+1.3*L889*K887+S889*H887),4)</f>
        <v>1239.24</v>
      </c>
      <c r="U889" s="48">
        <f>ROUND((M889*0.9*I887+1.3*M889*0.9*K887+S889*H887),4)</f>
        <v>1363.8635999999999</v>
      </c>
      <c r="V889" s="48">
        <f>ROUND((M889*I887+1.3*M889*K887+S889*H887),4)</f>
        <v>1512.8040000000001</v>
      </c>
      <c r="W889" s="48">
        <f>ROUND((L889*J887+1.3*L889*N887+S889*G887),4)</f>
        <v>23.94</v>
      </c>
      <c r="X889" s="48">
        <f>ROUND((M889*0.9*J887+1.3*M889*0.9*N887+S889*G887),4)</f>
        <v>26.154</v>
      </c>
      <c r="Y889" s="48">
        <f>ROUND((M889*J887+1.3*M889*N887+S889*G887),4)</f>
        <v>28.8</v>
      </c>
      <c r="Z889" s="49">
        <f>ROUND((P887*T889*F887*O887/1000000),4)</f>
        <v>0.22309999999999999</v>
      </c>
      <c r="AA889" s="49">
        <f>ROUND((Q887*U889*F887*O887/1000000),4)</f>
        <v>8.1799999999999998E-2</v>
      </c>
      <c r="AB889" s="49">
        <f>ROUND((R887*V889*F887*O887/1000000),4)</f>
        <v>0</v>
      </c>
      <c r="AC889" s="50" t="s">
        <v>203</v>
      </c>
      <c r="AD889" s="51" t="s">
        <v>204</v>
      </c>
      <c r="AE889" s="44">
        <f>ROUND((((X889*E887)/1800)),4)</f>
        <v>1.4500000000000001E-2</v>
      </c>
      <c r="AF889" s="44">
        <f>ROUND(((Z889+AA889+AB889)),5)</f>
        <v>0.3049</v>
      </c>
    </row>
    <row r="890" spans="1:32" ht="12.95" customHeight="1" x14ac:dyDescent="0.25">
      <c r="A890" s="52"/>
      <c r="B890" s="88"/>
      <c r="C890" s="52"/>
      <c r="D890" s="52"/>
      <c r="E890" s="52"/>
      <c r="F890" s="63"/>
      <c r="G890" s="52"/>
      <c r="H890" s="52"/>
      <c r="I890" s="52"/>
      <c r="J890" s="52"/>
      <c r="K890" s="52"/>
      <c r="L890" s="59">
        <v>1.79</v>
      </c>
      <c r="M890" s="59">
        <v>2.15</v>
      </c>
      <c r="N890" s="52"/>
      <c r="O890" s="52"/>
      <c r="P890" s="52"/>
      <c r="Q890" s="52"/>
      <c r="R890" s="52"/>
      <c r="S890" s="61">
        <v>1.24</v>
      </c>
      <c r="T890" s="48">
        <f>ROUND((L890*I887+1.3*L890*K887+S890*H887),4)</f>
        <v>2794.8420000000001</v>
      </c>
      <c r="U890" s="48">
        <f>ROUND((M890*0.9*I887+1.3*M890*0.9*K887+S890*H887),4)</f>
        <v>3015.2130000000002</v>
      </c>
      <c r="V890" s="48">
        <f>ROUND((M890*I887+1.3*M890*K887+S890*H887),4)</f>
        <v>3341.97</v>
      </c>
      <c r="W890" s="48">
        <f>ROUND((L890*J887+1.3*L890*N887+S890*G887),4)</f>
        <v>55.77</v>
      </c>
      <c r="X890" s="48">
        <f>ROUND((M890*0.9*J887+1.3*M890*0.9*N887+S890*G887),4)</f>
        <v>59.685000000000002</v>
      </c>
      <c r="Y890" s="48">
        <f>ROUND((M890*J887+1.3*N887+S890*G887),4)</f>
        <v>50.54</v>
      </c>
      <c r="Z890" s="49">
        <f>ROUND((P887*T890*F887*O887/1000000),4)</f>
        <v>0.50309999999999999</v>
      </c>
      <c r="AA890" s="49">
        <f>ROUND((Q887*U890*F887*O887/1000000),4)</f>
        <v>0.18090000000000001</v>
      </c>
      <c r="AB890" s="49">
        <f>ROUND((R887*V890*F887*O887/1000000),4)</f>
        <v>0</v>
      </c>
      <c r="AC890" s="50" t="s">
        <v>205</v>
      </c>
      <c r="AD890" s="51" t="s">
        <v>206</v>
      </c>
      <c r="AE890" s="44">
        <f>ROUND((((X890*E887)/1800)),4)</f>
        <v>3.32E-2</v>
      </c>
      <c r="AF890" s="44">
        <f>ROUND(((Z890+AA890+AB890)),4)</f>
        <v>0.68400000000000005</v>
      </c>
    </row>
    <row r="891" spans="1:32" ht="12.95" customHeight="1" x14ac:dyDescent="0.25">
      <c r="A891" s="52"/>
      <c r="B891" s="53"/>
      <c r="C891" s="52"/>
      <c r="D891" s="52"/>
      <c r="E891" s="52"/>
      <c r="F891" s="63"/>
      <c r="G891" s="52"/>
      <c r="H891" s="52"/>
      <c r="I891" s="52"/>
      <c r="J891" s="52"/>
      <c r="K891" s="52"/>
      <c r="L891" s="59">
        <v>1.1299999999999999</v>
      </c>
      <c r="M891" s="59">
        <v>1.7</v>
      </c>
      <c r="N891" s="52"/>
      <c r="O891" s="52"/>
      <c r="P891" s="52"/>
      <c r="Q891" s="52"/>
      <c r="R891" s="52"/>
      <c r="S891" s="61">
        <v>0.26</v>
      </c>
      <c r="T891" s="48">
        <f>ROUND((L891*I887+1.3*L891*K887+S891*H887),4)</f>
        <v>1732.9739999999999</v>
      </c>
      <c r="U891" s="48">
        <f>ROUND((M891*0.9*I887+1.3*M891*0.9*K887+S891*H887),4)</f>
        <v>2340.8939999999998</v>
      </c>
      <c r="V891" s="48">
        <f>ROUND((M891*I887+1.3*M891*K887+S891*H887),4)</f>
        <v>2599.2600000000002</v>
      </c>
      <c r="W891" s="48">
        <f>ROUND((L891*J887+1.3*L891*N887+S891*G887),4)</f>
        <v>32.07</v>
      </c>
      <c r="X891" s="48">
        <f>ROUND((M891*0.9*J887+1.3*M891*0.9*N887+S891*G887),4)</f>
        <v>42.87</v>
      </c>
      <c r="Y891" s="48">
        <f>ROUND((M891*J887+1.3*M891*N887+S891*G887),4)</f>
        <v>47.46</v>
      </c>
      <c r="Z891" s="49">
        <f>ROUND((P887*T891*F887*O887/1000000),4)</f>
        <v>0.31190000000000001</v>
      </c>
      <c r="AA891" s="49">
        <f>ROUND((Q887*U891*F887*O887/1000000),4)</f>
        <v>0.14050000000000001</v>
      </c>
      <c r="AB891" s="49">
        <f>ROUND((R887*V891*F887*O887/1000000),4)</f>
        <v>0</v>
      </c>
      <c r="AC891" s="50" t="s">
        <v>250</v>
      </c>
      <c r="AD891" s="51" t="s">
        <v>208</v>
      </c>
      <c r="AE891" s="44">
        <f>ROUND((((X891*E887)/1800)),4)</f>
        <v>2.3800000000000002E-2</v>
      </c>
      <c r="AF891" s="44">
        <f>ROUND(((Z891+AA891+AB891)),4)</f>
        <v>0.45240000000000002</v>
      </c>
    </row>
    <row r="892" spans="1:32" ht="12.95" customHeight="1" x14ac:dyDescent="0.25">
      <c r="A892" s="52"/>
      <c r="B892" s="62"/>
      <c r="C892" s="56"/>
      <c r="D892" s="56"/>
      <c r="E892" s="56"/>
      <c r="F892" s="66"/>
      <c r="G892" s="56"/>
      <c r="H892" s="56"/>
      <c r="I892" s="56"/>
      <c r="J892" s="56"/>
      <c r="K892" s="56"/>
      <c r="L892" s="59">
        <v>5.3</v>
      </c>
      <c r="M892" s="59">
        <v>6.47</v>
      </c>
      <c r="N892" s="56"/>
      <c r="O892" s="56"/>
      <c r="P892" s="56"/>
      <c r="Q892" s="56"/>
      <c r="R892" s="56"/>
      <c r="S892" s="61">
        <v>9.92</v>
      </c>
      <c r="T892" s="48">
        <f>ROUND((L892*I887+1.3*L892*K887+S892*H887),4)</f>
        <v>8650.14</v>
      </c>
      <c r="U892" s="48">
        <f>ROUND((M892*0.9*I887+1.3*M892*0.9*K887+S892*H887),4)</f>
        <v>9444.9953999999998</v>
      </c>
      <c r="V892" s="48">
        <f>ROUND((M892*I887+1.3*M892*K887+S892*H887),4)</f>
        <v>10428.306</v>
      </c>
      <c r="W892" s="48">
        <f>ROUND((L892*J887+1.3*L892*N887+S892*G887),4)</f>
        <v>202.62</v>
      </c>
      <c r="X892" s="48">
        <f>ROUND((M892*0.9*J887+1.3*M892*0.9*N887+S892*G887),4)</f>
        <v>216.74100000000001</v>
      </c>
      <c r="Y892" s="48">
        <f>ROUND((M892*J887+1.3*M892*N887+S892*G887),4)</f>
        <v>234.21</v>
      </c>
      <c r="Z892" s="49">
        <f>ROUND((P887*T892*F887*O887/1000000),4)</f>
        <v>1.5569999999999999</v>
      </c>
      <c r="AA892" s="49">
        <f>ROUND((Q887*U892*F887*O887/1000000),4)</f>
        <v>0.56669999999999998</v>
      </c>
      <c r="AB892" s="49">
        <f>ROUND((R887*V892*F887*O887/1000000),4)</f>
        <v>0</v>
      </c>
      <c r="AC892" s="50" t="s">
        <v>170</v>
      </c>
      <c r="AD892" s="51" t="s">
        <v>162</v>
      </c>
      <c r="AE892" s="44">
        <f>ROUND((((X892*E887)/1800)),4)</f>
        <v>0.12039999999999999</v>
      </c>
      <c r="AF892" s="44">
        <f>ROUND(((Z892+AA892+AB892)),4)</f>
        <v>2.1236999999999999</v>
      </c>
    </row>
    <row r="893" spans="1:32" ht="12.95" customHeight="1" x14ac:dyDescent="0.25">
      <c r="A893" s="52"/>
      <c r="B893" s="67" t="s">
        <v>220</v>
      </c>
      <c r="C893" s="46">
        <v>7</v>
      </c>
      <c r="D893" s="45" t="s">
        <v>217</v>
      </c>
      <c r="E893" s="45">
        <v>1</v>
      </c>
      <c r="F893" s="45">
        <v>5</v>
      </c>
      <c r="G893" s="45">
        <v>6</v>
      </c>
      <c r="H893" s="45">
        <v>60</v>
      </c>
      <c r="I893" s="45">
        <f>(8-1-0.75*2)*60*F893-K893-8*0.12*60</f>
        <v>519.9</v>
      </c>
      <c r="J893" s="45">
        <v>14</v>
      </c>
      <c r="K893" s="45">
        <f>(8-1-0.75*2)*0.65*60*F893</f>
        <v>1072.5</v>
      </c>
      <c r="L893" s="48">
        <v>10.16</v>
      </c>
      <c r="M893" s="48">
        <v>10.16</v>
      </c>
      <c r="N893" s="45">
        <v>10</v>
      </c>
      <c r="O893" s="45">
        <f>E893/F893</f>
        <v>0.2</v>
      </c>
      <c r="P893" s="45">
        <v>150</v>
      </c>
      <c r="Q893" s="45">
        <v>15</v>
      </c>
      <c r="R893" s="47">
        <v>15</v>
      </c>
      <c r="S893" s="47">
        <v>1.99</v>
      </c>
      <c r="T893" s="48">
        <f>ROUND((L893*I893+1.3*L893*K893+S893*H893),4)</f>
        <v>19567.164000000001</v>
      </c>
      <c r="U893" s="48">
        <f>ROUND((M893*I893+1.3*M893*K893+S893*H893),4)</f>
        <v>19567.164000000001</v>
      </c>
      <c r="V893" s="48">
        <f>ROUND((M893*I893+1.3*M893*K893+S893*H893),4)</f>
        <v>19567.164000000001</v>
      </c>
      <c r="W893" s="48">
        <f>ROUND((L893*J893+1.3*L893*N893+S893*G893),4)</f>
        <v>286.26</v>
      </c>
      <c r="X893" s="48">
        <f>ROUND((M893*J893+1.3*M893*N893+S893*G893),4)</f>
        <v>286.26</v>
      </c>
      <c r="Y893" s="48">
        <f>ROUND((M893*J893+1.3*M893*N893+S893*G893),4)</f>
        <v>286.26</v>
      </c>
      <c r="Z893" s="49">
        <f>ROUND((P893*T893*F893*O893/1000000),4)</f>
        <v>2.9350999999999998</v>
      </c>
      <c r="AA893" s="49">
        <f>ROUND((Q893*U893*F893*O893/1000000),4)</f>
        <v>0.29349999999999998</v>
      </c>
      <c r="AB893" s="49">
        <f>ROUND((R893*V893*F893*O893/1000000),4)</f>
        <v>0.29349999999999998</v>
      </c>
      <c r="AC893" s="50" t="s">
        <v>200</v>
      </c>
      <c r="AD893" s="51" t="s">
        <v>153</v>
      </c>
      <c r="AE893" s="44">
        <f>ROUND((((X893*E893)/1800)*0.8),4)</f>
        <v>0.12720000000000001</v>
      </c>
      <c r="AF893" s="44">
        <f>ROUND(((Z893+AA893+AB893)*0.8),4)</f>
        <v>2.8176999999999999</v>
      </c>
    </row>
    <row r="894" spans="1:32" ht="12.95" customHeight="1" x14ac:dyDescent="0.25">
      <c r="A894" s="52"/>
      <c r="B894" s="53" t="s">
        <v>221</v>
      </c>
      <c r="C894" s="52"/>
      <c r="D894" s="52"/>
      <c r="E894" s="52"/>
      <c r="F894" s="52"/>
      <c r="G894" s="52"/>
      <c r="H894" s="52"/>
      <c r="I894" s="52"/>
      <c r="J894" s="52"/>
      <c r="K894" s="52"/>
      <c r="L894" s="56"/>
      <c r="M894" s="56"/>
      <c r="N894" s="52"/>
      <c r="O894" s="52"/>
      <c r="P894" s="52"/>
      <c r="Q894" s="52"/>
      <c r="R894" s="52"/>
      <c r="S894" s="57"/>
      <c r="T894" s="54"/>
      <c r="U894" s="54"/>
      <c r="V894" s="54"/>
      <c r="W894" s="54"/>
      <c r="X894" s="54"/>
      <c r="Y894" s="54"/>
      <c r="Z894" s="54"/>
      <c r="AA894" s="54"/>
      <c r="AB894" s="54"/>
      <c r="AC894" s="50" t="s">
        <v>201</v>
      </c>
      <c r="AD894" s="51" t="s">
        <v>202</v>
      </c>
      <c r="AE894" s="44">
        <f>ROUND((((X893*E893)/1800)*0.13),4)</f>
        <v>2.07E-2</v>
      </c>
      <c r="AF894" s="44">
        <f>ROUND(((Z893+AA893+AB893)*0.13),4)</f>
        <v>0.45789999999999997</v>
      </c>
    </row>
    <row r="895" spans="1:32" ht="12.95" customHeight="1" x14ac:dyDescent="0.25">
      <c r="A895" s="52"/>
      <c r="B895" s="88"/>
      <c r="C895" s="55"/>
      <c r="D895" s="55"/>
      <c r="E895" s="52"/>
      <c r="F895" s="52"/>
      <c r="G895" s="52"/>
      <c r="H895" s="52"/>
      <c r="I895" s="52"/>
      <c r="J895" s="52"/>
      <c r="K895" s="52"/>
      <c r="L895" s="59">
        <v>0.8</v>
      </c>
      <c r="M895" s="59">
        <v>0.98</v>
      </c>
      <c r="N895" s="52"/>
      <c r="O895" s="52"/>
      <c r="P895" s="52"/>
      <c r="Q895" s="52"/>
      <c r="R895" s="52"/>
      <c r="S895" s="60">
        <v>0.39</v>
      </c>
      <c r="T895" s="48">
        <f>ROUND((L895*I893+1.3*L895*K893+S895*H893),4)</f>
        <v>1554.72</v>
      </c>
      <c r="U895" s="48">
        <f>ROUND((M895*0.9*I893+1.3*M895*0.9*K893+S895*H893),4)</f>
        <v>1711.6803</v>
      </c>
      <c r="V895" s="48">
        <f>ROUND((M895*I893+1.3*M895*K893+S895*H893),4)</f>
        <v>1899.2670000000001</v>
      </c>
      <c r="W895" s="48">
        <f>ROUND((L895*J893+1.3*L895*N893+S895*G893),4)</f>
        <v>23.94</v>
      </c>
      <c r="X895" s="48">
        <f>ROUND((M895*0.9*J893+1.3*M895*0.9*N893+S895*G893),4)</f>
        <v>26.154</v>
      </c>
      <c r="Y895" s="48">
        <f>ROUND((M895*J893+1.3*M895*N893+S895*G893),4)</f>
        <v>28.8</v>
      </c>
      <c r="Z895" s="49">
        <f>ROUND((P893*T895*F893*O893/1000000),4)</f>
        <v>0.23319999999999999</v>
      </c>
      <c r="AA895" s="49">
        <f>ROUND((Q893*U895*F893*O893/1000000),4)</f>
        <v>2.5700000000000001E-2</v>
      </c>
      <c r="AB895" s="49">
        <f>ROUND((R893*V895*F893*O893/1000000),4)</f>
        <v>2.8500000000000001E-2</v>
      </c>
      <c r="AC895" s="50" t="s">
        <v>203</v>
      </c>
      <c r="AD895" s="51" t="s">
        <v>204</v>
      </c>
      <c r="AE895" s="44">
        <f>ROUND((((X895*E893)/1800)),4)</f>
        <v>1.4500000000000001E-2</v>
      </c>
      <c r="AF895" s="44">
        <f>ROUND(((Z895+AA895+AB895)),5)</f>
        <v>0.28739999999999999</v>
      </c>
    </row>
    <row r="896" spans="1:32" ht="12.95" customHeight="1" x14ac:dyDescent="0.25">
      <c r="A896" s="52"/>
      <c r="B896" s="88"/>
      <c r="C896" s="52"/>
      <c r="D896" s="52"/>
      <c r="E896" s="52"/>
      <c r="F896" s="52"/>
      <c r="G896" s="52"/>
      <c r="H896" s="52"/>
      <c r="I896" s="52"/>
      <c r="J896" s="52"/>
      <c r="K896" s="52"/>
      <c r="L896" s="59">
        <v>1.79</v>
      </c>
      <c r="M896" s="59">
        <v>2.15</v>
      </c>
      <c r="N896" s="52"/>
      <c r="O896" s="52"/>
      <c r="P896" s="52"/>
      <c r="Q896" s="52"/>
      <c r="R896" s="52"/>
      <c r="S896" s="61">
        <v>1.24</v>
      </c>
      <c r="T896" s="48">
        <f>ROUND((L896*I893+1.3*L896*K893+S896*H893),4)</f>
        <v>3500.7285000000002</v>
      </c>
      <c r="U896" s="48">
        <f>ROUND((M896*0.9*I893+1.3*M896*0.9*K893+S896*H893),4)</f>
        <v>3778.2802999999999</v>
      </c>
      <c r="V896" s="48">
        <f>ROUND((M896*I893+1.3*M896*K893+S896*H893),4)</f>
        <v>4189.8225000000002</v>
      </c>
      <c r="W896" s="48">
        <f>ROUND((L896*J893+1.3*L896*N893+S896*G893),4)</f>
        <v>55.77</v>
      </c>
      <c r="X896" s="48">
        <f>ROUND((M896*0.9*J893+1.3*M896*0.9*N893+S896*G893),4)</f>
        <v>59.685000000000002</v>
      </c>
      <c r="Y896" s="48">
        <f>ROUND((M896*J893+1.3*N893+S896*G893),4)</f>
        <v>50.54</v>
      </c>
      <c r="Z896" s="49">
        <f>ROUND((P893*T896*F893*O893/1000000),4)</f>
        <v>0.52510000000000001</v>
      </c>
      <c r="AA896" s="49">
        <f>ROUND((Q893*U896*F893*O893/1000000),4)</f>
        <v>5.67E-2</v>
      </c>
      <c r="AB896" s="49">
        <f>ROUND((R893*V896*F893*O893/1000000),4)</f>
        <v>6.2799999999999995E-2</v>
      </c>
      <c r="AC896" s="50" t="s">
        <v>205</v>
      </c>
      <c r="AD896" s="51" t="s">
        <v>206</v>
      </c>
      <c r="AE896" s="44">
        <f>ROUND((((X896*E893)/1800)),4)</f>
        <v>3.32E-2</v>
      </c>
      <c r="AF896" s="44">
        <f>ROUND(((Z896+AA896+AB896)),4)</f>
        <v>0.64459999999999995</v>
      </c>
    </row>
    <row r="897" spans="1:34" ht="12.95" customHeight="1" x14ac:dyDescent="0.25">
      <c r="A897" s="52"/>
      <c r="B897" s="53"/>
      <c r="C897" s="52"/>
      <c r="D897" s="52"/>
      <c r="E897" s="52"/>
      <c r="F897" s="52"/>
      <c r="G897" s="52"/>
      <c r="H897" s="52"/>
      <c r="I897" s="52"/>
      <c r="J897" s="52"/>
      <c r="K897" s="52"/>
      <c r="L897" s="59">
        <v>1.1299999999999999</v>
      </c>
      <c r="M897" s="59">
        <v>1.7</v>
      </c>
      <c r="N897" s="52"/>
      <c r="O897" s="52"/>
      <c r="P897" s="52"/>
      <c r="Q897" s="52"/>
      <c r="R897" s="52"/>
      <c r="S897" s="61">
        <v>0.26</v>
      </c>
      <c r="T897" s="48">
        <f>ROUND((L897*I893+1.3*L897*K893+S897*H893),4)</f>
        <v>2178.5895</v>
      </c>
      <c r="U897" s="48">
        <f>ROUND((M897*0.9*I893+1.3*M897*0.9*K893+S897*H893),4)</f>
        <v>2944.2494999999999</v>
      </c>
      <c r="V897" s="48">
        <f>ROUND((M897*I893+1.3*M897*K893+S897*H893),4)</f>
        <v>3269.6550000000002</v>
      </c>
      <c r="W897" s="48">
        <f>ROUND((L897*J893+1.3*L897*N893+S897*G893),4)</f>
        <v>32.07</v>
      </c>
      <c r="X897" s="48">
        <f>ROUND((M897*0.9*J893+1.3*M897*0.9*N893+S897*G893),4)</f>
        <v>42.87</v>
      </c>
      <c r="Y897" s="48">
        <f>ROUND((M897*J893+1.3*M897*N893+S897*G893),4)</f>
        <v>47.46</v>
      </c>
      <c r="Z897" s="49">
        <f>ROUND((P893*T897*F893*O893/1000000),4)</f>
        <v>0.32679999999999998</v>
      </c>
      <c r="AA897" s="49">
        <f>ROUND((Q893*U897*F893*O893/1000000),4)</f>
        <v>4.4200000000000003E-2</v>
      </c>
      <c r="AB897" s="49">
        <f>ROUND((R893*V897*F893*O893/1000000),4)</f>
        <v>4.9000000000000002E-2</v>
      </c>
      <c r="AC897" s="50" t="s">
        <v>250</v>
      </c>
      <c r="AD897" s="51" t="s">
        <v>208</v>
      </c>
      <c r="AE897" s="44">
        <f>ROUND((((X897*E893)/1800)),4)</f>
        <v>2.3800000000000002E-2</v>
      </c>
      <c r="AF897" s="44">
        <f>ROUND(((Z897+AA897+AB897)),4)</f>
        <v>0.42</v>
      </c>
    </row>
    <row r="898" spans="1:34" ht="12.95" customHeight="1" x14ac:dyDescent="0.25">
      <c r="A898" s="52"/>
      <c r="B898" s="62"/>
      <c r="C898" s="56"/>
      <c r="D898" s="56"/>
      <c r="E898" s="56"/>
      <c r="F898" s="56"/>
      <c r="G898" s="56"/>
      <c r="H898" s="56"/>
      <c r="I898" s="56"/>
      <c r="J898" s="56"/>
      <c r="K898" s="56"/>
      <c r="L898" s="59">
        <v>5.3</v>
      </c>
      <c r="M898" s="59">
        <v>6.47</v>
      </c>
      <c r="N898" s="56"/>
      <c r="O898" s="56"/>
      <c r="P898" s="56"/>
      <c r="Q898" s="56"/>
      <c r="R898" s="56"/>
      <c r="S898" s="61">
        <v>9.92</v>
      </c>
      <c r="T898" s="48">
        <f>ROUND((L898*I893+1.3*L898*K893+S898*H893),4)</f>
        <v>10740.195</v>
      </c>
      <c r="U898" s="48">
        <f>ROUND((M898*0.9*I893+1.3*M898*0.9*K893+S898*H893),4)</f>
        <v>11741.2955</v>
      </c>
      <c r="V898" s="48">
        <f>ROUND((M898*I893+1.3*M898*K893+S898*H893),4)</f>
        <v>12979.7505</v>
      </c>
      <c r="W898" s="48">
        <f>ROUND((L898*J893+1.3*L898*N893+S898*G893),4)</f>
        <v>202.62</v>
      </c>
      <c r="X898" s="48">
        <f>ROUND((M898*0.9*J893+1.3*M898*0.9*N893+S898*G893),4)</f>
        <v>216.74100000000001</v>
      </c>
      <c r="Y898" s="48">
        <f>ROUND((M898*J893+1.3*M898*N893+S898*G893),4)</f>
        <v>234.21</v>
      </c>
      <c r="Z898" s="49">
        <f>ROUND((P893*T898*F893*O893/1000000),4)</f>
        <v>1.611</v>
      </c>
      <c r="AA898" s="49">
        <f>ROUND((Q893*U898*F893*O893/1000000),4)</f>
        <v>0.17610000000000001</v>
      </c>
      <c r="AB898" s="49">
        <f>ROUND((R893*V898*F893*O893/1000000),4)</f>
        <v>0.19470000000000001</v>
      </c>
      <c r="AC898" s="50" t="s">
        <v>170</v>
      </c>
      <c r="AD898" s="51" t="s">
        <v>162</v>
      </c>
      <c r="AE898" s="44">
        <f>ROUND((((X898*E893)/1800)),4)</f>
        <v>0.12039999999999999</v>
      </c>
      <c r="AF898" s="44">
        <f>ROUND(((Z898+AA898+AB898)),4)</f>
        <v>1.9818</v>
      </c>
    </row>
    <row r="899" spans="1:34" ht="12.95" customHeight="1" x14ac:dyDescent="0.25">
      <c r="A899" s="52"/>
      <c r="B899" s="67" t="s">
        <v>220</v>
      </c>
      <c r="C899" s="46">
        <v>7</v>
      </c>
      <c r="D899" s="45" t="s">
        <v>217</v>
      </c>
      <c r="E899" s="45">
        <v>1</v>
      </c>
      <c r="F899" s="45">
        <v>4</v>
      </c>
      <c r="G899" s="45">
        <v>6</v>
      </c>
      <c r="H899" s="45">
        <v>60</v>
      </c>
      <c r="I899" s="45">
        <f>(8-1-0.75*2)*60*F899-K899-8*0.12*60</f>
        <v>404.4</v>
      </c>
      <c r="J899" s="45">
        <v>14</v>
      </c>
      <c r="K899" s="45">
        <f>(8-1-0.75*2)*0.65*60*F899</f>
        <v>858</v>
      </c>
      <c r="L899" s="48">
        <v>10.16</v>
      </c>
      <c r="M899" s="48">
        <v>10.16</v>
      </c>
      <c r="N899" s="45">
        <v>10</v>
      </c>
      <c r="O899" s="45">
        <f>E899/F899</f>
        <v>0.25</v>
      </c>
      <c r="P899" s="45">
        <v>120</v>
      </c>
      <c r="Q899" s="45">
        <v>15</v>
      </c>
      <c r="R899" s="47">
        <v>15</v>
      </c>
      <c r="S899" s="47">
        <v>1.99</v>
      </c>
      <c r="T899" s="48">
        <f>ROUND((L899*I899+1.3*L899*K899+S899*H899),4)</f>
        <v>15560.567999999999</v>
      </c>
      <c r="U899" s="48">
        <f>ROUND((M899*I899+1.3*M899*K899+S899*H899),4)</f>
        <v>15560.567999999999</v>
      </c>
      <c r="V899" s="48">
        <f>ROUND((M899*I899+1.3*M899*K899+S899*H899),4)</f>
        <v>15560.567999999999</v>
      </c>
      <c r="W899" s="48">
        <f>ROUND((L899*J899+1.3*L899*N899+S899*G899),4)</f>
        <v>286.26</v>
      </c>
      <c r="X899" s="48">
        <f>ROUND((M899*J899+1.3*M899*N899+S899*G899),4)</f>
        <v>286.26</v>
      </c>
      <c r="Y899" s="48">
        <f>ROUND((M899*J899+1.3*M899*N899+S899*G899),4)</f>
        <v>286.26</v>
      </c>
      <c r="Z899" s="49">
        <f>ROUND((P899*T899*F899*O899/1000000),4)</f>
        <v>1.8673</v>
      </c>
      <c r="AA899" s="49">
        <f>ROUND((Q899*U899*F899*O899/1000000),4)</f>
        <v>0.2334</v>
      </c>
      <c r="AB899" s="49">
        <f>ROUND((R899*V899*F899*O899/1000000),4)</f>
        <v>0.2334</v>
      </c>
      <c r="AC899" s="50" t="s">
        <v>200</v>
      </c>
      <c r="AD899" s="51" t="s">
        <v>153</v>
      </c>
      <c r="AE899" s="44">
        <f>ROUND((((X899*E899)/1800)*0.8),4)</f>
        <v>0.12720000000000001</v>
      </c>
      <c r="AF899" s="44">
        <f>ROUND(((Z899+AA899+AB899)*0.8),4)</f>
        <v>1.8673</v>
      </c>
    </row>
    <row r="900" spans="1:34" ht="12.95" customHeight="1" x14ac:dyDescent="0.25">
      <c r="A900" s="52"/>
      <c r="B900" s="53" t="s">
        <v>222</v>
      </c>
      <c r="C900" s="52"/>
      <c r="D900" s="52"/>
      <c r="E900" s="52"/>
      <c r="F900" s="63"/>
      <c r="G900" s="52"/>
      <c r="H900" s="52"/>
      <c r="I900" s="52"/>
      <c r="J900" s="52"/>
      <c r="K900" s="52"/>
      <c r="L900" s="56"/>
      <c r="M900" s="56"/>
      <c r="N900" s="52"/>
      <c r="O900" s="52"/>
      <c r="P900" s="52"/>
      <c r="Q900" s="52"/>
      <c r="R900" s="52"/>
      <c r="S900" s="57"/>
      <c r="T900" s="54"/>
      <c r="U900" s="54"/>
      <c r="V900" s="54"/>
      <c r="W900" s="54"/>
      <c r="X900" s="54"/>
      <c r="Y900" s="54"/>
      <c r="Z900" s="54"/>
      <c r="AA900" s="54"/>
      <c r="AB900" s="54"/>
      <c r="AC900" s="50" t="s">
        <v>201</v>
      </c>
      <c r="AD900" s="51" t="s">
        <v>202</v>
      </c>
      <c r="AE900" s="44">
        <f>ROUND((((X899*E899)/1800)*0.13),4)</f>
        <v>2.07E-2</v>
      </c>
      <c r="AF900" s="44">
        <f>ROUND(((Z899+AA899+AB899)*0.13),4)</f>
        <v>0.3034</v>
      </c>
    </row>
    <row r="901" spans="1:34" ht="12.95" customHeight="1" x14ac:dyDescent="0.25">
      <c r="A901" s="52"/>
      <c r="B901" s="88"/>
      <c r="C901" s="55"/>
      <c r="D901" s="55"/>
      <c r="E901" s="52"/>
      <c r="F901" s="63"/>
      <c r="G901" s="52"/>
      <c r="H901" s="52"/>
      <c r="I901" s="52"/>
      <c r="J901" s="52"/>
      <c r="K901" s="52"/>
      <c r="L901" s="59">
        <v>0.8</v>
      </c>
      <c r="M901" s="59">
        <v>0.98</v>
      </c>
      <c r="N901" s="52"/>
      <c r="O901" s="52"/>
      <c r="P901" s="52"/>
      <c r="Q901" s="52"/>
      <c r="R901" s="52"/>
      <c r="S901" s="60">
        <v>0.39</v>
      </c>
      <c r="T901" s="48">
        <f>ROUND((L901*I899+1.3*L901*K899+S901*H899),4)</f>
        <v>1239.24</v>
      </c>
      <c r="U901" s="48">
        <f>ROUND((M901*0.9*I899+1.3*M901*0.9*K899+S901*H899),4)</f>
        <v>1363.8635999999999</v>
      </c>
      <c r="V901" s="48">
        <f>ROUND((M901*I899+1.3*M901*K899+S901*H899),4)</f>
        <v>1512.8040000000001</v>
      </c>
      <c r="W901" s="48">
        <f>ROUND((L901*J899+1.3*L901*N899+S901*G899),4)</f>
        <v>23.94</v>
      </c>
      <c r="X901" s="48">
        <f>ROUND((M901*0.9*J899+1.3*M901*0.9*N899+S901*G899),4)</f>
        <v>26.154</v>
      </c>
      <c r="Y901" s="48">
        <f>ROUND((M901*J899+1.3*M901*N899+S901*G899),4)</f>
        <v>28.8</v>
      </c>
      <c r="Z901" s="49">
        <f>ROUND((P899*T901*F899*O899/1000000),4)</f>
        <v>0.1487</v>
      </c>
      <c r="AA901" s="49">
        <f>ROUND((Q899*U901*F899*O899/1000000),4)</f>
        <v>2.0500000000000001E-2</v>
      </c>
      <c r="AB901" s="49">
        <f>ROUND((R899*V901*F899*O899/1000000),4)</f>
        <v>2.2700000000000001E-2</v>
      </c>
      <c r="AC901" s="50" t="s">
        <v>203</v>
      </c>
      <c r="AD901" s="51" t="s">
        <v>204</v>
      </c>
      <c r="AE901" s="44">
        <f>ROUND((((X901*E899)/1800)),4)</f>
        <v>1.4500000000000001E-2</v>
      </c>
      <c r="AF901" s="44">
        <f>ROUND(((Z901+AA901+AB901)),5)</f>
        <v>0.19189999999999999</v>
      </c>
    </row>
    <row r="902" spans="1:34" ht="12.95" customHeight="1" x14ac:dyDescent="0.25">
      <c r="A902" s="52"/>
      <c r="B902" s="88"/>
      <c r="C902" s="52"/>
      <c r="D902" s="52"/>
      <c r="E902" s="52"/>
      <c r="F902" s="63"/>
      <c r="G902" s="52"/>
      <c r="H902" s="52"/>
      <c r="I902" s="52"/>
      <c r="J902" s="52"/>
      <c r="K902" s="52"/>
      <c r="L902" s="59">
        <v>1.79</v>
      </c>
      <c r="M902" s="59">
        <v>2.15</v>
      </c>
      <c r="N902" s="52"/>
      <c r="O902" s="52"/>
      <c r="P902" s="52"/>
      <c r="Q902" s="52"/>
      <c r="R902" s="52"/>
      <c r="S902" s="61">
        <v>1.24</v>
      </c>
      <c r="T902" s="48">
        <f>ROUND((L902*I899+1.3*L902*K899+S902*H899),4)</f>
        <v>2794.8420000000001</v>
      </c>
      <c r="U902" s="48">
        <f>ROUND((M902*0.9*I899+1.3*M902*0.9*K899+S902*H899),4)</f>
        <v>3015.2130000000002</v>
      </c>
      <c r="V902" s="48">
        <f>ROUND((M902*I899+1.3*M902*K899+S902*H899),4)</f>
        <v>3341.97</v>
      </c>
      <c r="W902" s="48">
        <f>ROUND((L902*J899+1.3*L902*N899+S902*G899),4)</f>
        <v>55.77</v>
      </c>
      <c r="X902" s="48">
        <f>ROUND((M902*0.9*J899+1.3*M902*0.9*N899+S902*G899),4)</f>
        <v>59.685000000000002</v>
      </c>
      <c r="Y902" s="48">
        <f>ROUND((M902*J899+1.3*N899+S902*G899),4)</f>
        <v>50.54</v>
      </c>
      <c r="Z902" s="49">
        <f>ROUND((P899*T902*F899*O899/1000000),4)</f>
        <v>0.33539999999999998</v>
      </c>
      <c r="AA902" s="49">
        <f>ROUND((Q899*U902*F899*O899/1000000),4)</f>
        <v>4.5199999999999997E-2</v>
      </c>
      <c r="AB902" s="49">
        <f>ROUND((R899*V902*F899*O899/1000000),4)</f>
        <v>5.0099999999999999E-2</v>
      </c>
      <c r="AC902" s="50" t="s">
        <v>205</v>
      </c>
      <c r="AD902" s="51" t="s">
        <v>206</v>
      </c>
      <c r="AE902" s="44">
        <f>ROUND((((X902*E899)/1800)),4)</f>
        <v>3.32E-2</v>
      </c>
      <c r="AF902" s="44">
        <f>ROUND(((Z902+AA902+AB902)),4)</f>
        <v>0.43070000000000003</v>
      </c>
    </row>
    <row r="903" spans="1:34" ht="12.95" customHeight="1" x14ac:dyDescent="0.25">
      <c r="A903" s="52"/>
      <c r="B903" s="53"/>
      <c r="C903" s="52"/>
      <c r="D903" s="52"/>
      <c r="E903" s="52"/>
      <c r="F903" s="63"/>
      <c r="G903" s="52"/>
      <c r="H903" s="52"/>
      <c r="I903" s="52"/>
      <c r="J903" s="52"/>
      <c r="K903" s="52"/>
      <c r="L903" s="59">
        <v>1.1299999999999999</v>
      </c>
      <c r="M903" s="59">
        <v>1.7</v>
      </c>
      <c r="N903" s="52"/>
      <c r="O903" s="52"/>
      <c r="P903" s="52"/>
      <c r="Q903" s="52"/>
      <c r="R903" s="52"/>
      <c r="S903" s="61">
        <v>0.26</v>
      </c>
      <c r="T903" s="48">
        <f>ROUND((L903*I899+1.3*L903*K899+S903*H899),4)</f>
        <v>1732.9739999999999</v>
      </c>
      <c r="U903" s="48">
        <f>ROUND((M903*0.9*I899+1.3*M903*0.9*K899+S903*H899),4)</f>
        <v>2340.8939999999998</v>
      </c>
      <c r="V903" s="48">
        <f>ROUND((M903*I899+1.3*M903*K899+S903*H899),4)</f>
        <v>2599.2600000000002</v>
      </c>
      <c r="W903" s="48">
        <f>ROUND((L903*J899+1.3*L903*N899+S903*G899),4)</f>
        <v>32.07</v>
      </c>
      <c r="X903" s="48">
        <f>ROUND((M903*0.9*J899+1.3*M903*0.9*N899+S903*G899),4)</f>
        <v>42.87</v>
      </c>
      <c r="Y903" s="48">
        <f>ROUND((M903*J899+1.3*M903*N899+S903*G899),4)</f>
        <v>47.46</v>
      </c>
      <c r="Z903" s="49">
        <f>ROUND((P899*T903*F899*O899/1000000),4)</f>
        <v>0.20799999999999999</v>
      </c>
      <c r="AA903" s="49">
        <f>ROUND((Q899*U903*F899*O899/1000000),4)</f>
        <v>3.5099999999999999E-2</v>
      </c>
      <c r="AB903" s="49">
        <f>ROUND((R899*V903*F899*O899/1000000),4)</f>
        <v>3.9E-2</v>
      </c>
      <c r="AC903" s="50" t="s">
        <v>250</v>
      </c>
      <c r="AD903" s="51" t="s">
        <v>208</v>
      </c>
      <c r="AE903" s="44">
        <f>ROUND((((X903*E899)/1800)),4)</f>
        <v>2.3800000000000002E-2</v>
      </c>
      <c r="AF903" s="44">
        <f>ROUND(((Z903+AA903+AB903)),4)</f>
        <v>0.28210000000000002</v>
      </c>
    </row>
    <row r="904" spans="1:34" ht="12.95" customHeight="1" x14ac:dyDescent="0.25">
      <c r="A904" s="52"/>
      <c r="B904" s="62"/>
      <c r="C904" s="56"/>
      <c r="D904" s="56"/>
      <c r="E904" s="56"/>
      <c r="F904" s="66"/>
      <c r="G904" s="56"/>
      <c r="H904" s="56"/>
      <c r="I904" s="56"/>
      <c r="J904" s="56"/>
      <c r="K904" s="56"/>
      <c r="L904" s="59">
        <v>5.3</v>
      </c>
      <c r="M904" s="59">
        <v>6.47</v>
      </c>
      <c r="N904" s="56"/>
      <c r="O904" s="56"/>
      <c r="P904" s="56"/>
      <c r="Q904" s="56"/>
      <c r="R904" s="56"/>
      <c r="S904" s="61">
        <v>9.92</v>
      </c>
      <c r="T904" s="48">
        <f>ROUND((L904*I899+1.3*L904*K899+S904*H899),4)</f>
        <v>8650.14</v>
      </c>
      <c r="U904" s="48">
        <f>ROUND((M904*0.9*I899+1.3*M904*0.9*K899+S904*H899),4)</f>
        <v>9444.9953999999998</v>
      </c>
      <c r="V904" s="48">
        <f>ROUND((M904*I899+1.3*M904*K899+S904*H899),4)</f>
        <v>10428.306</v>
      </c>
      <c r="W904" s="48">
        <f>ROUND((L904*J899+1.3*L904*N899+S904*G899),4)</f>
        <v>202.62</v>
      </c>
      <c r="X904" s="48">
        <f>ROUND((M904*0.9*J899+1.3*M904*0.9*N899+S904*G899),4)</f>
        <v>216.74100000000001</v>
      </c>
      <c r="Y904" s="48">
        <f>ROUND((M904*J899+1.3*M904*N899+S904*G899),4)</f>
        <v>234.21</v>
      </c>
      <c r="Z904" s="49">
        <f>ROUND((P899*T904*F899*O899/1000000),4)</f>
        <v>1.038</v>
      </c>
      <c r="AA904" s="49">
        <f>ROUND((Q899*U904*F899*O899/1000000),4)</f>
        <v>0.14169999999999999</v>
      </c>
      <c r="AB904" s="49">
        <f>ROUND((R899*V904*F899*O899/1000000),4)</f>
        <v>0.15640000000000001</v>
      </c>
      <c r="AC904" s="50" t="s">
        <v>170</v>
      </c>
      <c r="AD904" s="51" t="s">
        <v>162</v>
      </c>
      <c r="AE904" s="44">
        <f>ROUND((((X904*E899)/1800)),4)</f>
        <v>0.12039999999999999</v>
      </c>
      <c r="AF904" s="44">
        <f>ROUND(((Z904+AA904+AB904)),4)</f>
        <v>1.3361000000000001</v>
      </c>
    </row>
    <row r="905" spans="1:34" ht="12.95" customHeight="1" x14ac:dyDescent="0.25">
      <c r="A905" s="52"/>
      <c r="B905" s="67" t="s">
        <v>223</v>
      </c>
      <c r="C905" s="46">
        <v>1</v>
      </c>
      <c r="D905" s="45" t="s">
        <v>225</v>
      </c>
      <c r="E905" s="45">
        <v>1</v>
      </c>
      <c r="F905" s="45">
        <v>3</v>
      </c>
      <c r="G905" s="45">
        <v>6</v>
      </c>
      <c r="H905" s="45">
        <v>60</v>
      </c>
      <c r="I905" s="45">
        <f>(8-1-0.75*2)*60*F905-K905-8*0.12*60</f>
        <v>288.89999999999998</v>
      </c>
      <c r="J905" s="45">
        <v>14</v>
      </c>
      <c r="K905" s="45">
        <f>(8-1-0.75*2)*0.65*60*F905</f>
        <v>643.5</v>
      </c>
      <c r="L905" s="48">
        <v>0.47</v>
      </c>
      <c r="M905" s="48">
        <v>0.47</v>
      </c>
      <c r="N905" s="45">
        <v>10</v>
      </c>
      <c r="O905" s="45">
        <f>E905/F905</f>
        <v>0.33333333333333331</v>
      </c>
      <c r="P905" s="45">
        <v>120</v>
      </c>
      <c r="Q905" s="45">
        <v>30</v>
      </c>
      <c r="R905" s="47">
        <v>0</v>
      </c>
      <c r="S905" s="47">
        <v>0.09</v>
      </c>
      <c r="T905" s="48">
        <f>ROUND((L905*I905+1.3*L905*K905+S905*H905),4)</f>
        <v>534.36149999999998</v>
      </c>
      <c r="U905" s="48">
        <f>ROUND((M905*I905+1.3*M905*K905+S905*H905),4)</f>
        <v>534.36149999999998</v>
      </c>
      <c r="V905" s="48">
        <f>ROUND((M905*I905+1.3*M905*K905+S905*H905),4)</f>
        <v>534.36149999999998</v>
      </c>
      <c r="W905" s="48">
        <f>ROUND((L905*J905+1.3*L905*N905+S905*G905),4)</f>
        <v>13.23</v>
      </c>
      <c r="X905" s="48">
        <f>ROUND((M905*J905+1.3*M905*N905+S905*G905),4)</f>
        <v>13.23</v>
      </c>
      <c r="Y905" s="48">
        <f>ROUND((M905*J905+1.3*M905*N905+S905*G905),4)</f>
        <v>13.23</v>
      </c>
      <c r="Z905" s="49">
        <f>ROUND((P905*T905*F905*O905/1000000),4)</f>
        <v>6.4100000000000004E-2</v>
      </c>
      <c r="AA905" s="49">
        <f>ROUND((Q905*U905*F905*O905/1000000),4)</f>
        <v>1.6E-2</v>
      </c>
      <c r="AB905" s="49">
        <f>ROUND((R905*V905*F905*O905/1000000),4)</f>
        <v>0</v>
      </c>
      <c r="AC905" s="50" t="s">
        <v>200</v>
      </c>
      <c r="AD905" s="51" t="s">
        <v>153</v>
      </c>
      <c r="AE905" s="44">
        <f>ROUND((((X905*E905)/1800)*0.8),4)</f>
        <v>5.8999999999999999E-3</v>
      </c>
      <c r="AF905" s="44">
        <f>ROUND(((Z905+AA905+AB905)*0.8),4)</f>
        <v>6.4100000000000004E-2</v>
      </c>
      <c r="AG905" s="88"/>
      <c r="AH905" s="88"/>
    </row>
    <row r="906" spans="1:34" ht="12.95" customHeight="1" x14ac:dyDescent="0.25">
      <c r="A906" s="52"/>
      <c r="B906" s="53" t="s">
        <v>224</v>
      </c>
      <c r="C906" s="52"/>
      <c r="D906" s="52"/>
      <c r="E906" s="52"/>
      <c r="F906" s="63"/>
      <c r="G906" s="52"/>
      <c r="H906" s="52"/>
      <c r="I906" s="52"/>
      <c r="J906" s="52"/>
      <c r="K906" s="52"/>
      <c r="L906" s="56"/>
      <c r="M906" s="56"/>
      <c r="N906" s="52"/>
      <c r="O906" s="52"/>
      <c r="P906" s="52"/>
      <c r="Q906" s="52"/>
      <c r="R906" s="52"/>
      <c r="S906" s="57"/>
      <c r="T906" s="54"/>
      <c r="U906" s="54"/>
      <c r="V906" s="54"/>
      <c r="W906" s="54"/>
      <c r="X906" s="54"/>
      <c r="Y906" s="54"/>
      <c r="Z906" s="54"/>
      <c r="AA906" s="54"/>
      <c r="AB906" s="54"/>
      <c r="AC906" s="50" t="s">
        <v>201</v>
      </c>
      <c r="AD906" s="51" t="s">
        <v>202</v>
      </c>
      <c r="AE906" s="44">
        <f>ROUND((((X905*E905)/1800)*0.13),4)</f>
        <v>1E-3</v>
      </c>
      <c r="AF906" s="44">
        <f>ROUND(((Z905+AA905+AB905)*0.13),4)</f>
        <v>1.04E-2</v>
      </c>
      <c r="AG906" s="88"/>
      <c r="AH906" s="88"/>
    </row>
    <row r="907" spans="1:34" ht="12.95" customHeight="1" x14ac:dyDescent="0.25">
      <c r="A907" s="52"/>
      <c r="B907" s="88"/>
      <c r="C907" s="55"/>
      <c r="D907" s="55"/>
      <c r="E907" s="52"/>
      <c r="F907" s="63"/>
      <c r="G907" s="52"/>
      <c r="H907" s="52"/>
      <c r="I907" s="52"/>
      <c r="J907" s="52"/>
      <c r="K907" s="52"/>
      <c r="L907" s="59">
        <v>0.8</v>
      </c>
      <c r="M907" s="59">
        <v>0.98</v>
      </c>
      <c r="N907" s="52"/>
      <c r="O907" s="52"/>
      <c r="P907" s="52"/>
      <c r="Q907" s="52"/>
      <c r="R907" s="52"/>
      <c r="S907" s="60">
        <v>1.7999999999999999E-2</v>
      </c>
      <c r="T907" s="48">
        <f>ROUND((L907*I905+1.3*L907*K905+S907*H905),4)</f>
        <v>901.44</v>
      </c>
      <c r="U907" s="48">
        <f>ROUND((M907*0.9*I905+1.3*M907*0.9*K905+S907*H905),4)</f>
        <v>993.7269</v>
      </c>
      <c r="V907" s="48">
        <f>ROUND((M907*I905+1.3*M907*K905+S907*H905),4)</f>
        <v>1104.021</v>
      </c>
      <c r="W907" s="48">
        <f>ROUND((L907*J905+1.3*L907*N905+S907*G905),4)</f>
        <v>21.707999999999998</v>
      </c>
      <c r="X907" s="48">
        <f>ROUND((M907*0.9*J905+1.3*M907*0.9*N905+S907*G905),4)</f>
        <v>23.922000000000001</v>
      </c>
      <c r="Y907" s="48">
        <f>ROUND((M907*J905+1.3*M907*N905+S907*G905),4)</f>
        <v>26.568000000000001</v>
      </c>
      <c r="Z907" s="49">
        <f>ROUND((P905*T907*F905*O905/1000000),4)</f>
        <v>0.1082</v>
      </c>
      <c r="AA907" s="49">
        <f>ROUND((Q905*U907*F905*O905/1000000),4)</f>
        <v>2.98E-2</v>
      </c>
      <c r="AB907" s="49">
        <f>ROUND((R905*V907*F905*O905/1000000),4)</f>
        <v>0</v>
      </c>
      <c r="AC907" s="50" t="s">
        <v>203</v>
      </c>
      <c r="AD907" s="51" t="s">
        <v>204</v>
      </c>
      <c r="AE907" s="44">
        <f>ROUND((((X907*E905)/1800)),4)</f>
        <v>1.3299999999999999E-2</v>
      </c>
      <c r="AF907" s="44">
        <f>ROUND(((Z907+AA907+AB907)),5)</f>
        <v>0.13800000000000001</v>
      </c>
      <c r="AG907" s="88"/>
      <c r="AH907" s="88"/>
    </row>
    <row r="908" spans="1:34" ht="12.95" customHeight="1" x14ac:dyDescent="0.25">
      <c r="A908" s="52"/>
      <c r="B908" s="88"/>
      <c r="C908" s="52"/>
      <c r="D908" s="52"/>
      <c r="E908" s="52"/>
      <c r="F908" s="63"/>
      <c r="G908" s="52"/>
      <c r="H908" s="52"/>
      <c r="I908" s="52"/>
      <c r="J908" s="52"/>
      <c r="K908" s="52"/>
      <c r="L908" s="59">
        <v>0.08</v>
      </c>
      <c r="M908" s="59">
        <v>0.1</v>
      </c>
      <c r="N908" s="52"/>
      <c r="O908" s="52"/>
      <c r="P908" s="52"/>
      <c r="Q908" s="52"/>
      <c r="R908" s="52"/>
      <c r="S908" s="61">
        <v>0.06</v>
      </c>
      <c r="T908" s="48">
        <f>ROUND((L908*I905+1.3*L908*K905+S908*H905),4)</f>
        <v>93.635999999999996</v>
      </c>
      <c r="U908" s="48">
        <f>ROUND((M908*0.9*I905+1.3*M908*0.9*K905+S908*H905),4)</f>
        <v>104.8905</v>
      </c>
      <c r="V908" s="48">
        <f>ROUND((M908*I905+1.3*M908*K905+S908*H905),4)</f>
        <v>116.145</v>
      </c>
      <c r="W908" s="48">
        <f>ROUND((L908*J905+1.3*L908*N905+S908*G905),4)</f>
        <v>2.52</v>
      </c>
      <c r="X908" s="48">
        <f>ROUND((M908*0.9*J905+1.3*M908*0.9*N905+S908*G905),4)</f>
        <v>2.79</v>
      </c>
      <c r="Y908" s="48">
        <f>ROUND((M908*J905+1.3*N905+S908*G905),4)</f>
        <v>14.76</v>
      </c>
      <c r="Z908" s="49">
        <f>ROUND((P905*T908*F905*O905/1000000),4)</f>
        <v>1.12E-2</v>
      </c>
      <c r="AA908" s="49">
        <f>ROUND((Q905*U908*F905*O905/1000000),4)</f>
        <v>3.0999999999999999E-3</v>
      </c>
      <c r="AB908" s="49">
        <f>ROUND((R905*V908*F905*O905/1000000),4)</f>
        <v>0</v>
      </c>
      <c r="AC908" s="50" t="s">
        <v>205</v>
      </c>
      <c r="AD908" s="51" t="s">
        <v>206</v>
      </c>
      <c r="AE908" s="44">
        <f>ROUND((((X908*E905)/1800)),4)</f>
        <v>1.6000000000000001E-3</v>
      </c>
      <c r="AF908" s="44">
        <f>ROUND(((Z908+AA908+AB908)),4)</f>
        <v>1.43E-2</v>
      </c>
      <c r="AG908" s="88"/>
      <c r="AH908" s="88"/>
    </row>
    <row r="909" spans="1:34" ht="12.95" customHeight="1" x14ac:dyDescent="0.25">
      <c r="A909" s="52"/>
      <c r="B909" s="53"/>
      <c r="C909" s="52"/>
      <c r="D909" s="52"/>
      <c r="E909" s="52"/>
      <c r="F909" s="63"/>
      <c r="G909" s="52"/>
      <c r="H909" s="52"/>
      <c r="I909" s="52"/>
      <c r="J909" s="52"/>
      <c r="K909" s="52"/>
      <c r="L909" s="59">
        <v>0.05</v>
      </c>
      <c r="M909" s="59">
        <v>7.0000000000000007E-2</v>
      </c>
      <c r="N909" s="52"/>
      <c r="O909" s="52"/>
      <c r="P909" s="52"/>
      <c r="Q909" s="52"/>
      <c r="R909" s="52"/>
      <c r="S909" s="61">
        <v>0.01</v>
      </c>
      <c r="T909" s="48">
        <f>ROUND((L909*I905+1.3*L909*K905+S909*H905),4)</f>
        <v>56.872500000000002</v>
      </c>
      <c r="U909" s="48">
        <f>ROUND((M909*0.9*I905+1.3*M909*0.9*K905+S909*H905),4)</f>
        <v>71.503399999999999</v>
      </c>
      <c r="V909" s="48">
        <f>ROUND((M909*I905+1.3*M909*K905+S909*H905),4)</f>
        <v>79.381500000000003</v>
      </c>
      <c r="W909" s="48">
        <f>ROUND((L909*J905+1.3*L909*N905+S909*G905),4)</f>
        <v>1.41</v>
      </c>
      <c r="X909" s="48">
        <f>ROUND((M909*0.9*J905+1.3*M909*0.9*N905+S909*G905),4)</f>
        <v>1.7609999999999999</v>
      </c>
      <c r="Y909" s="48">
        <f>ROUND((M909*J905+1.3*M909*N905+S909*G905),4)</f>
        <v>1.95</v>
      </c>
      <c r="Z909" s="49">
        <f>ROUND((P905*T909*F905*O905/1000000),4)</f>
        <v>6.7999999999999996E-3</v>
      </c>
      <c r="AA909" s="49">
        <f>ROUND((Q905*U909*F905*O905/1000000),4)</f>
        <v>2.0999999999999999E-3</v>
      </c>
      <c r="AB909" s="49">
        <f>ROUND((R905*V909*F905*O905/1000000),4)</f>
        <v>0</v>
      </c>
      <c r="AC909" s="50" t="s">
        <v>250</v>
      </c>
      <c r="AD909" s="51" t="s">
        <v>208</v>
      </c>
      <c r="AE909" s="44">
        <f>ROUND((((X909*E905)/1800)),4)</f>
        <v>1E-3</v>
      </c>
      <c r="AF909" s="44">
        <f>ROUND(((Z909+AA909+AB909)),4)</f>
        <v>8.8999999999999999E-3</v>
      </c>
      <c r="AG909" s="88"/>
      <c r="AH909" s="88"/>
    </row>
    <row r="910" spans="1:34" ht="12.95" customHeight="1" x14ac:dyDescent="0.25">
      <c r="A910" s="52"/>
      <c r="B910" s="62"/>
      <c r="C910" s="56"/>
      <c r="D910" s="56"/>
      <c r="E910" s="56"/>
      <c r="F910" s="66"/>
      <c r="G910" s="56"/>
      <c r="H910" s="56"/>
      <c r="I910" s="56"/>
      <c r="J910" s="56"/>
      <c r="K910" s="56"/>
      <c r="L910" s="59">
        <v>3.5999999999999997E-2</v>
      </c>
      <c r="M910" s="59">
        <v>4.3999999999999997E-2</v>
      </c>
      <c r="N910" s="56"/>
      <c r="O910" s="56"/>
      <c r="P910" s="56"/>
      <c r="Q910" s="56"/>
      <c r="R910" s="56"/>
      <c r="S910" s="61">
        <v>0.45</v>
      </c>
      <c r="T910" s="48">
        <f>ROUND((L910*I905+1.3*L910*K905+S910*H905),4)</f>
        <v>67.516199999999998</v>
      </c>
      <c r="U910" s="48">
        <f>ROUND((M910*0.9*I905+1.3*M910*0.9*K905+S910*H905),4)</f>
        <v>71.567800000000005</v>
      </c>
      <c r="V910" s="48">
        <f>ROUND((M910*I905+1.3*M910*K905+S910*H905),4)</f>
        <v>76.519800000000004</v>
      </c>
      <c r="W910" s="48">
        <f>ROUND((L910*J905+1.3*L910*N905+S910*G905),4)</f>
        <v>3.6720000000000002</v>
      </c>
      <c r="X910" s="48">
        <f>ROUND((M910*0.9*J905+1.3*M910*0.9*N905+S910*G905),4)</f>
        <v>3.7692000000000001</v>
      </c>
      <c r="Y910" s="48">
        <f>ROUND((M910*J905+1.3*M910*N905+S910*G905),4)</f>
        <v>3.8879999999999999</v>
      </c>
      <c r="Z910" s="49">
        <f>ROUND((P905*T910*F905*O905/1000000),4)</f>
        <v>8.0999999999999996E-3</v>
      </c>
      <c r="AA910" s="49">
        <f>ROUND((Q905*U910*F905*O905/1000000),4)</f>
        <v>2.0999999999999999E-3</v>
      </c>
      <c r="AB910" s="49">
        <f>ROUND((R905*V910*F905*O905/1000000),4)</f>
        <v>0</v>
      </c>
      <c r="AC910" s="50" t="s">
        <v>170</v>
      </c>
      <c r="AD910" s="51" t="s">
        <v>162</v>
      </c>
      <c r="AE910" s="44">
        <f>ROUND((((X910*E905)/1800)),4)</f>
        <v>2.0999999999999999E-3</v>
      </c>
      <c r="AF910" s="44">
        <f>ROUND(((Z910+AA910+AB910)),4)</f>
        <v>1.0200000000000001E-2</v>
      </c>
      <c r="AG910" s="88"/>
      <c r="AH910" s="88"/>
    </row>
    <row r="911" spans="1:34" ht="12.95" customHeight="1" x14ac:dyDescent="0.25">
      <c r="A911" s="52"/>
      <c r="B911" s="67" t="s">
        <v>242</v>
      </c>
      <c r="C911" s="46">
        <v>3</v>
      </c>
      <c r="D911" s="45" t="s">
        <v>228</v>
      </c>
      <c r="E911" s="45">
        <v>1</v>
      </c>
      <c r="F911" s="45">
        <v>1</v>
      </c>
      <c r="G911" s="45">
        <v>6</v>
      </c>
      <c r="H911" s="45">
        <v>60</v>
      </c>
      <c r="I911" s="45">
        <f>(8-1-0.75*2)*60*F911-K911-8*0.12*60</f>
        <v>57.900000000000006</v>
      </c>
      <c r="J911" s="45">
        <v>14</v>
      </c>
      <c r="K911" s="45">
        <f>(8-1-0.75*2)*0.65*60*F911</f>
        <v>214.5</v>
      </c>
      <c r="L911" s="48">
        <v>1.49</v>
      </c>
      <c r="M911" s="48">
        <v>1.49</v>
      </c>
      <c r="N911" s="45">
        <v>10</v>
      </c>
      <c r="O911" s="45">
        <f>E911/F911</f>
        <v>1</v>
      </c>
      <c r="P911" s="45">
        <v>180</v>
      </c>
      <c r="Q911" s="45">
        <v>60</v>
      </c>
      <c r="R911" s="47">
        <v>30</v>
      </c>
      <c r="S911" s="47">
        <v>0.28999999999999998</v>
      </c>
      <c r="T911" s="48">
        <f>ROUND((L911*I911+1.3*L911*K911+S911*H911),4)</f>
        <v>519.15750000000003</v>
      </c>
      <c r="U911" s="48">
        <f>ROUND((M911*I911+1.3*M911*K911+S911*H911),4)</f>
        <v>519.15750000000003</v>
      </c>
      <c r="V911" s="48">
        <f>ROUND((M911*I911+1.3*M911*K911+S911*H911),4)</f>
        <v>519.15750000000003</v>
      </c>
      <c r="W911" s="48">
        <f>ROUND((L911*J911+1.3*L911*N911+S911*G911),4)</f>
        <v>41.97</v>
      </c>
      <c r="X911" s="48">
        <f>ROUND((M911*J911+1.3*M911*N911+S911*G911),4)</f>
        <v>41.97</v>
      </c>
      <c r="Y911" s="48">
        <f>ROUND((M911*J911+1.3*M911*N911+S911*G911),4)</f>
        <v>41.97</v>
      </c>
      <c r="Z911" s="49">
        <f>ROUND((P911*T911*F911*O911/1000000),4)</f>
        <v>9.3399999999999997E-2</v>
      </c>
      <c r="AA911" s="49">
        <f>ROUND((Q911*U911*F911*O911/1000000),4)</f>
        <v>3.1099999999999999E-2</v>
      </c>
      <c r="AB911" s="49">
        <f>ROUND((R911*V911*F911*O911/1000000),4)</f>
        <v>1.5599999999999999E-2</v>
      </c>
      <c r="AC911" s="50" t="s">
        <v>200</v>
      </c>
      <c r="AD911" s="51" t="s">
        <v>153</v>
      </c>
      <c r="AE911" s="44">
        <f>ROUND((((X911*E911)/1800)*0.8),4)</f>
        <v>1.8700000000000001E-2</v>
      </c>
      <c r="AF911" s="44">
        <f>ROUND(((Z911+AA911+AB911)*0.8),4)</f>
        <v>0.11210000000000001</v>
      </c>
      <c r="AG911" s="88"/>
      <c r="AH911" s="88"/>
    </row>
    <row r="912" spans="1:34" ht="12.95" customHeight="1" x14ac:dyDescent="0.25">
      <c r="A912" s="52"/>
      <c r="B912" s="53" t="s">
        <v>243</v>
      </c>
      <c r="C912" s="52"/>
      <c r="D912" s="52"/>
      <c r="E912" s="52"/>
      <c r="F912" s="63"/>
      <c r="G912" s="52"/>
      <c r="H912" s="52"/>
      <c r="I912" s="52"/>
      <c r="J912" s="52"/>
      <c r="K912" s="52"/>
      <c r="L912" s="56"/>
      <c r="M912" s="56"/>
      <c r="N912" s="52"/>
      <c r="O912" s="52"/>
      <c r="P912" s="52"/>
      <c r="Q912" s="52"/>
      <c r="R912" s="52"/>
      <c r="S912" s="57"/>
      <c r="T912" s="54"/>
      <c r="U912" s="54"/>
      <c r="V912" s="54"/>
      <c r="W912" s="54"/>
      <c r="X912" s="54"/>
      <c r="Y912" s="54"/>
      <c r="Z912" s="54"/>
      <c r="AA912" s="54"/>
      <c r="AB912" s="54"/>
      <c r="AC912" s="50" t="s">
        <v>201</v>
      </c>
      <c r="AD912" s="51" t="s">
        <v>202</v>
      </c>
      <c r="AE912" s="44">
        <f>ROUND((((X911*E911)/1800)*0.13),4)</f>
        <v>3.0000000000000001E-3</v>
      </c>
      <c r="AF912" s="44">
        <f>ROUND(((Z911+AA911+AB911)*0.13),4)</f>
        <v>1.8200000000000001E-2</v>
      </c>
      <c r="AG912" s="88"/>
      <c r="AH912" s="88"/>
    </row>
    <row r="913" spans="1:34" ht="12.95" customHeight="1" x14ac:dyDescent="0.25">
      <c r="A913" s="52"/>
      <c r="B913" s="88"/>
      <c r="C913" s="55"/>
      <c r="D913" s="55"/>
      <c r="E913" s="52"/>
      <c r="F913" s="63"/>
      <c r="G913" s="52"/>
      <c r="H913" s="52"/>
      <c r="I913" s="52"/>
      <c r="J913" s="52"/>
      <c r="K913" s="52"/>
      <c r="L913" s="59">
        <v>0.12</v>
      </c>
      <c r="M913" s="59">
        <v>0.15</v>
      </c>
      <c r="N913" s="52"/>
      <c r="O913" s="52"/>
      <c r="P913" s="52"/>
      <c r="Q913" s="52"/>
      <c r="R913" s="52"/>
      <c r="S913" s="60">
        <v>5.8000000000000003E-2</v>
      </c>
      <c r="T913" s="48">
        <f>ROUND((L913*I911+1.3*L913*K911+S913*H911),4)</f>
        <v>43.89</v>
      </c>
      <c r="U913" s="48">
        <f>ROUND((M913*0.9*I911+1.3*M913*0.9*K911+S913*H911),4)</f>
        <v>48.941299999999998</v>
      </c>
      <c r="V913" s="48">
        <f>ROUND((M913*I911+1.3*M913*K911+S913*H911),4)</f>
        <v>53.9925</v>
      </c>
      <c r="W913" s="48">
        <f>ROUND((L913*J911+1.3*L913*N911+S913*G911),4)</f>
        <v>3.5880000000000001</v>
      </c>
      <c r="X913" s="48">
        <f>ROUND((M913*0.9*J911+1.3*M913*0.9*N911+S913*G911),4)</f>
        <v>3.9929999999999999</v>
      </c>
      <c r="Y913" s="48">
        <f>ROUND((M913*J911+1.3*M913*N911+S913*G911),4)</f>
        <v>4.3979999999999997</v>
      </c>
      <c r="Z913" s="49">
        <f>ROUND((P911*T913*F911*O911/1000000),4)</f>
        <v>7.9000000000000008E-3</v>
      </c>
      <c r="AA913" s="49">
        <f>ROUND((Q911*U913*F911*O911/1000000),4)</f>
        <v>2.8999999999999998E-3</v>
      </c>
      <c r="AB913" s="49">
        <f>ROUND((R911*V913*F911*O911/1000000),4)</f>
        <v>1.6000000000000001E-3</v>
      </c>
      <c r="AC913" s="50" t="s">
        <v>203</v>
      </c>
      <c r="AD913" s="51" t="s">
        <v>204</v>
      </c>
      <c r="AE913" s="44">
        <f>ROUND((((X913*E911)/1800)),4)</f>
        <v>2.2000000000000001E-3</v>
      </c>
      <c r="AF913" s="44">
        <f>ROUND(((Z913+AA913+AB913)),5)</f>
        <v>1.24E-2</v>
      </c>
      <c r="AG913" s="88"/>
      <c r="AH913" s="88"/>
    </row>
    <row r="914" spans="1:34" ht="12.95" customHeight="1" x14ac:dyDescent="0.25">
      <c r="A914" s="52"/>
      <c r="B914" s="88"/>
      <c r="C914" s="52"/>
      <c r="D914" s="52"/>
      <c r="E914" s="52"/>
      <c r="F914" s="63"/>
      <c r="G914" s="52"/>
      <c r="H914" s="52"/>
      <c r="I914" s="52"/>
      <c r="J914" s="52"/>
      <c r="K914" s="52"/>
      <c r="L914" s="59">
        <v>0.26</v>
      </c>
      <c r="M914" s="59">
        <v>0.31</v>
      </c>
      <c r="N914" s="52"/>
      <c r="O914" s="52"/>
      <c r="P914" s="52"/>
      <c r="Q914" s="52"/>
      <c r="R914" s="52"/>
      <c r="S914" s="61">
        <v>0.18</v>
      </c>
      <c r="T914" s="48">
        <f>ROUND((L914*I911+1.3*L914*K911+S914*H911),4)</f>
        <v>98.355000000000004</v>
      </c>
      <c r="U914" s="48">
        <f>ROUND((M914*0.9*I911+1.3*M914*0.9*K911+S914*H911),4)</f>
        <v>104.7533</v>
      </c>
      <c r="V914" s="48">
        <f>ROUND((M914*I911+1.3*M914*K911+S914*H911),4)</f>
        <v>115.1925</v>
      </c>
      <c r="W914" s="48">
        <f>ROUND((L914*J911+1.3*L914*N911+S914*G911),4)</f>
        <v>8.1</v>
      </c>
      <c r="X914" s="48">
        <f>ROUND((M914*0.9*J911+1.3*M914*0.9*N911+S914*G911),4)</f>
        <v>8.6129999999999995</v>
      </c>
      <c r="Y914" s="48">
        <f>ROUND((M914*J911+1.3*N911+S914*G911),4)</f>
        <v>18.420000000000002</v>
      </c>
      <c r="Z914" s="49">
        <f>ROUND((P911*T914*F911*O911/1000000),4)</f>
        <v>1.77E-2</v>
      </c>
      <c r="AA914" s="49">
        <f>ROUND((Q911*U914*F911*O911/1000000),4)</f>
        <v>6.3E-3</v>
      </c>
      <c r="AB914" s="49">
        <f>ROUND((R911*V914*F911*O911/1000000),4)</f>
        <v>3.5000000000000001E-3</v>
      </c>
      <c r="AC914" s="50" t="s">
        <v>205</v>
      </c>
      <c r="AD914" s="51" t="s">
        <v>206</v>
      </c>
      <c r="AE914" s="44">
        <f>ROUND((((X914*E911)/1800)),4)</f>
        <v>4.7999999999999996E-3</v>
      </c>
      <c r="AF914" s="44">
        <f>ROUND(((Z914+AA914+AB914)),4)</f>
        <v>2.75E-2</v>
      </c>
      <c r="AG914" s="88"/>
      <c r="AH914" s="88"/>
    </row>
    <row r="915" spans="1:34" ht="12.95" customHeight="1" x14ac:dyDescent="0.25">
      <c r="A915" s="52"/>
      <c r="B915" s="53"/>
      <c r="C915" s="52"/>
      <c r="D915" s="52"/>
      <c r="E915" s="52"/>
      <c r="F915" s="63"/>
      <c r="G915" s="52"/>
      <c r="H915" s="52"/>
      <c r="I915" s="52"/>
      <c r="J915" s="52"/>
      <c r="K915" s="52"/>
      <c r="L915" s="59">
        <v>0.17</v>
      </c>
      <c r="M915" s="59">
        <v>0.25</v>
      </c>
      <c r="N915" s="52"/>
      <c r="O915" s="52"/>
      <c r="P915" s="52"/>
      <c r="Q915" s="52"/>
      <c r="R915" s="52"/>
      <c r="S915" s="61">
        <v>0.04</v>
      </c>
      <c r="T915" s="48">
        <f>ROUND((L915*I911+1.3*L915*K911+S915*H911),4)</f>
        <v>59.647500000000001</v>
      </c>
      <c r="U915" s="48">
        <f>ROUND((M915*0.9*I911+1.3*M915*0.9*K911+S915*H911),4)</f>
        <v>78.168800000000005</v>
      </c>
      <c r="V915" s="48">
        <f>ROUND((M915*I911+1.3*M915*K911+S915*H911),4)</f>
        <v>86.587500000000006</v>
      </c>
      <c r="W915" s="48">
        <f>ROUND((L915*J911+1.3*L915*N911+S915*G911),4)</f>
        <v>4.83</v>
      </c>
      <c r="X915" s="48">
        <f>ROUND((M915*0.9*J911+1.3*M915*0.9*N911+S915*G911),4)</f>
        <v>6.3150000000000004</v>
      </c>
      <c r="Y915" s="48">
        <f>ROUND((M915*J911+1.3*M915*N911+S915*G911),4)</f>
        <v>6.99</v>
      </c>
      <c r="Z915" s="49">
        <f>ROUND((P911*T915*F911*O911/1000000),4)</f>
        <v>1.0699999999999999E-2</v>
      </c>
      <c r="AA915" s="49">
        <f>ROUND((Q911*U915*F911*O911/1000000),4)</f>
        <v>4.7000000000000002E-3</v>
      </c>
      <c r="AB915" s="49">
        <f>ROUND((R911*V915*F911*O911/1000000),4)</f>
        <v>2.5999999999999999E-3</v>
      </c>
      <c r="AC915" s="50" t="s">
        <v>250</v>
      </c>
      <c r="AD915" s="51" t="s">
        <v>208</v>
      </c>
      <c r="AE915" s="44">
        <f>ROUND((((X915*E911)/1800)),4)</f>
        <v>3.5000000000000001E-3</v>
      </c>
      <c r="AF915" s="44">
        <f>ROUND(((Z915+AA915+AB915)),4)</f>
        <v>1.7999999999999999E-2</v>
      </c>
      <c r="AG915" s="88"/>
      <c r="AH915" s="88"/>
    </row>
    <row r="916" spans="1:34" ht="12.95" customHeight="1" x14ac:dyDescent="0.25">
      <c r="A916" s="56"/>
      <c r="B916" s="62"/>
      <c r="C916" s="56"/>
      <c r="D916" s="56"/>
      <c r="E916" s="56"/>
      <c r="F916" s="66"/>
      <c r="G916" s="56"/>
      <c r="H916" s="56"/>
      <c r="I916" s="56"/>
      <c r="J916" s="56"/>
      <c r="K916" s="56"/>
      <c r="L916" s="59">
        <v>0.77</v>
      </c>
      <c r="M916" s="59">
        <v>0.94</v>
      </c>
      <c r="N916" s="56"/>
      <c r="O916" s="56"/>
      <c r="P916" s="56"/>
      <c r="Q916" s="56"/>
      <c r="R916" s="56"/>
      <c r="S916" s="61">
        <v>1.44</v>
      </c>
      <c r="T916" s="48">
        <f>ROUND((L916*I911+1.3*L916*K911+S916*H911),4)</f>
        <v>345.69749999999999</v>
      </c>
      <c r="U916" s="48">
        <f>ROUND((M916*0.9*I911+1.3*M916*0.9*K911+S916*H911),4)</f>
        <v>371.29050000000001</v>
      </c>
      <c r="V916" s="48">
        <f>ROUND((M916*I911+1.3*M916*K911+S916*H911),4)</f>
        <v>402.94499999999999</v>
      </c>
      <c r="W916" s="48">
        <f>ROUND((L916*J911+1.3*L916*N911+S916*G911),4)</f>
        <v>29.43</v>
      </c>
      <c r="X916" s="48">
        <f>ROUND((M916*0.9*J911+1.3*M916*0.9*N911+S916*G911),4)</f>
        <v>31.481999999999999</v>
      </c>
      <c r="Y916" s="48">
        <f>ROUND((M916*J911+1.3*M916*N911+S916*G911),4)</f>
        <v>34.020000000000003</v>
      </c>
      <c r="Z916" s="49">
        <f>ROUND((P911*T916*F911*O911/1000000),4)</f>
        <v>6.2199999999999998E-2</v>
      </c>
      <c r="AA916" s="49">
        <f>ROUND((Q911*U916*F911*O911/1000000),4)</f>
        <v>2.23E-2</v>
      </c>
      <c r="AB916" s="49">
        <f>ROUND((R911*V916*F911*O911/1000000),4)</f>
        <v>1.21E-2</v>
      </c>
      <c r="AC916" s="50" t="s">
        <v>170</v>
      </c>
      <c r="AD916" s="51" t="s">
        <v>162</v>
      </c>
      <c r="AE916" s="44">
        <f>ROUND((((X916*E911)/1800)),4)</f>
        <v>1.7500000000000002E-2</v>
      </c>
      <c r="AF916" s="44">
        <f>ROUND(((Z916+AA916+AB916)),4)</f>
        <v>9.6600000000000005E-2</v>
      </c>
      <c r="AG916" s="87"/>
      <c r="AH916" s="87"/>
    </row>
    <row r="917" spans="1:34" s="285" customFormat="1" ht="12.95" customHeight="1" x14ac:dyDescent="0.2">
      <c r="A917" s="1057" t="s">
        <v>553</v>
      </c>
      <c r="B917" s="1058"/>
      <c r="C917" s="1058"/>
      <c r="D917" s="1058"/>
      <c r="E917" s="1058"/>
      <c r="F917" s="1058"/>
      <c r="G917" s="1058"/>
      <c r="H917" s="1058"/>
      <c r="I917" s="1058"/>
      <c r="J917" s="1058"/>
      <c r="K917" s="1058"/>
      <c r="L917" s="1058"/>
      <c r="M917" s="1058"/>
      <c r="N917" s="1058"/>
      <c r="O917" s="1058"/>
      <c r="P917" s="1058"/>
      <c r="Q917" s="1058"/>
      <c r="R917" s="1058"/>
      <c r="S917" s="1059"/>
      <c r="T917" s="280">
        <f>ROUND((L917*I917+1.3*L917*K917+S917*H917),4)</f>
        <v>0</v>
      </c>
      <c r="U917" s="280">
        <f>ROUND((M917*I917+1.3*M917*K917+S917*H917),4)</f>
        <v>0</v>
      </c>
      <c r="V917" s="280">
        <f>ROUND((M917*I917+1.3*M917*K917+S917*H917),4)</f>
        <v>0</v>
      </c>
      <c r="W917" s="280">
        <f>ROUND((L917*J917+1.3*L917*N917+S917*G917),4)</f>
        <v>0</v>
      </c>
      <c r="X917" s="280">
        <f>ROUND((M917*J917+1.3*M917*N917+S917*G917),4)</f>
        <v>0</v>
      </c>
      <c r="Y917" s="280">
        <f>ROUND((M917*J917+1.3*M917*N917+S917*G917),4)</f>
        <v>0</v>
      </c>
      <c r="Z917" s="281">
        <f>ROUND((P917*T917*F917*O917/1000000),4)</f>
        <v>0</v>
      </c>
      <c r="AA917" s="281">
        <f>ROUND((Q917*U917*F917*O917/1000000),4)</f>
        <v>0</v>
      </c>
      <c r="AB917" s="281">
        <f>ROUND((R917*V917*F917*O917/1000000),4)</f>
        <v>0</v>
      </c>
      <c r="AC917" s="282" t="s">
        <v>200</v>
      </c>
      <c r="AD917" s="283" t="s">
        <v>153</v>
      </c>
      <c r="AE917" s="291">
        <f>MAX(AE863,AE869,AE875,AE881,AE887,AE893,AE899,AE905,AE911)</f>
        <v>0.12720000000000001</v>
      </c>
      <c r="AF917" s="291">
        <f>AF863+AF869+AF875+AF881+AF887+AF893+AF899+AF905+AF911</f>
        <v>11.925600000000001</v>
      </c>
      <c r="AG917" s="292"/>
      <c r="AH917" s="292"/>
    </row>
    <row r="918" spans="1:34" s="285" customFormat="1" ht="12.95" customHeight="1" x14ac:dyDescent="0.2">
      <c r="A918" s="1057"/>
      <c r="B918" s="1060"/>
      <c r="C918" s="1060"/>
      <c r="D918" s="1060"/>
      <c r="E918" s="1060"/>
      <c r="F918" s="1060"/>
      <c r="G918" s="1060"/>
      <c r="H918" s="1060"/>
      <c r="I918" s="1060"/>
      <c r="J918" s="1060"/>
      <c r="K918" s="1060"/>
      <c r="L918" s="1060"/>
      <c r="M918" s="1060"/>
      <c r="N918" s="1060"/>
      <c r="O918" s="1060"/>
      <c r="P918" s="1060"/>
      <c r="Q918" s="1060"/>
      <c r="R918" s="1060"/>
      <c r="S918" s="1061"/>
      <c r="T918" s="286"/>
      <c r="U918" s="286"/>
      <c r="V918" s="286"/>
      <c r="W918" s="286"/>
      <c r="X918" s="286"/>
      <c r="Y918" s="286"/>
      <c r="Z918" s="286"/>
      <c r="AA918" s="286"/>
      <c r="AB918" s="286"/>
      <c r="AC918" s="282" t="s">
        <v>201</v>
      </c>
      <c r="AD918" s="283" t="s">
        <v>202</v>
      </c>
      <c r="AE918" s="291">
        <f t="shared" ref="AE918:AE922" si="18">MAX(AE864,AE870,AE876,AE882,AE888,AE894,AE900,AE906,AE912)</f>
        <v>2.07E-2</v>
      </c>
      <c r="AF918" s="291">
        <f t="shared" ref="AF918:AF922" si="19">AF864+AF870+AF876+AF882+AF888+AF894+AF900+AF906+AF912</f>
        <v>1.9379</v>
      </c>
      <c r="AG918" s="292"/>
      <c r="AH918" s="292"/>
    </row>
    <row r="919" spans="1:34" s="285" customFormat="1" ht="12.95" customHeight="1" x14ac:dyDescent="0.2">
      <c r="A919" s="1057"/>
      <c r="B919" s="1060"/>
      <c r="C919" s="1060"/>
      <c r="D919" s="1060"/>
      <c r="E919" s="1060"/>
      <c r="F919" s="1060"/>
      <c r="G919" s="1060"/>
      <c r="H919" s="1060"/>
      <c r="I919" s="1060"/>
      <c r="J919" s="1060"/>
      <c r="K919" s="1060"/>
      <c r="L919" s="1060"/>
      <c r="M919" s="1060"/>
      <c r="N919" s="1060"/>
      <c r="O919" s="1060"/>
      <c r="P919" s="1060"/>
      <c r="Q919" s="1060"/>
      <c r="R919" s="1060"/>
      <c r="S919" s="1061"/>
      <c r="T919" s="280">
        <f>ROUND((L919*I917+1.3*L919*K917+S919*H917),4)</f>
        <v>0</v>
      </c>
      <c r="U919" s="280">
        <f>ROUND((M919*0.9*I917+1.3*M919*0.9*K917+S919*H917),4)</f>
        <v>0</v>
      </c>
      <c r="V919" s="280">
        <f>ROUND((M919*I917+1.3*M919*K917+S919*H917),4)</f>
        <v>0</v>
      </c>
      <c r="W919" s="280">
        <f>ROUND((L919*J917+1.3*L919*N917+S919*G917),4)</f>
        <v>0</v>
      </c>
      <c r="X919" s="280">
        <f>ROUND((M919*0.9*J917+1.3*M919*0.9*N917+S919*G917),4)</f>
        <v>0</v>
      </c>
      <c r="Y919" s="280">
        <f>ROUND((M919*J917+1.3*M919*N917+S919*G917),4)</f>
        <v>0</v>
      </c>
      <c r="Z919" s="281">
        <f>ROUND((P917*T919*F917*O917/1000000),4)</f>
        <v>0</v>
      </c>
      <c r="AA919" s="281">
        <f>ROUND((Q917*U919*F917*O917/1000000),4)</f>
        <v>0</v>
      </c>
      <c r="AB919" s="281">
        <f>ROUND((R917*V919*F917*O917/1000000),4)</f>
        <v>0</v>
      </c>
      <c r="AC919" s="282" t="s">
        <v>203</v>
      </c>
      <c r="AD919" s="283" t="s">
        <v>204</v>
      </c>
      <c r="AE919" s="291">
        <f t="shared" si="18"/>
        <v>1.4500000000000001E-2</v>
      </c>
      <c r="AF919" s="291">
        <f t="shared" si="19"/>
        <v>1.3523999999999998</v>
      </c>
      <c r="AG919" s="292"/>
      <c r="AH919" s="292"/>
    </row>
    <row r="920" spans="1:34" s="285" customFormat="1" ht="12.95" customHeight="1" x14ac:dyDescent="0.2">
      <c r="A920" s="1057"/>
      <c r="B920" s="1060"/>
      <c r="C920" s="1060"/>
      <c r="D920" s="1060"/>
      <c r="E920" s="1060"/>
      <c r="F920" s="1060"/>
      <c r="G920" s="1060"/>
      <c r="H920" s="1060"/>
      <c r="I920" s="1060"/>
      <c r="J920" s="1060"/>
      <c r="K920" s="1060"/>
      <c r="L920" s="1060"/>
      <c r="M920" s="1060"/>
      <c r="N920" s="1060"/>
      <c r="O920" s="1060"/>
      <c r="P920" s="1060"/>
      <c r="Q920" s="1060"/>
      <c r="R920" s="1060"/>
      <c r="S920" s="1061"/>
      <c r="T920" s="280">
        <f>ROUND((L920*I917+1.3*L920*K917+S920*H917),4)</f>
        <v>0</v>
      </c>
      <c r="U920" s="280">
        <f>ROUND((M920*0.9*I917+1.3*M920*0.9*K917+S920*H917),4)</f>
        <v>0</v>
      </c>
      <c r="V920" s="280">
        <f>ROUND((M920*I917+1.3*M920*K917+S920*H917),4)</f>
        <v>0</v>
      </c>
      <c r="W920" s="280">
        <f>ROUND((L920*J917+1.3*L920*N917+S920*G917),4)</f>
        <v>0</v>
      </c>
      <c r="X920" s="280">
        <f>ROUND((M920*0.9*J917+1.3*M920*0.9*N917+S920*G917),4)</f>
        <v>0</v>
      </c>
      <c r="Y920" s="280">
        <f>ROUND((M920*J917+1.3*N917+S920*G917),4)</f>
        <v>0</v>
      </c>
      <c r="Z920" s="281">
        <f>ROUND((P917*T920*F917*O917/1000000),4)</f>
        <v>0</v>
      </c>
      <c r="AA920" s="281">
        <f>ROUND((Q917*U920*F917*O917/1000000),4)</f>
        <v>0</v>
      </c>
      <c r="AB920" s="281">
        <f>ROUND((R917*V920*F917*O917/1000000),4)</f>
        <v>0</v>
      </c>
      <c r="AC920" s="282" t="s">
        <v>205</v>
      </c>
      <c r="AD920" s="283" t="s">
        <v>206</v>
      </c>
      <c r="AE920" s="291">
        <f t="shared" si="18"/>
        <v>3.32E-2</v>
      </c>
      <c r="AF920" s="291">
        <f t="shared" si="19"/>
        <v>2.7440999999999995</v>
      </c>
      <c r="AG920" s="292"/>
      <c r="AH920" s="292"/>
    </row>
    <row r="921" spans="1:34" s="285" customFormat="1" ht="12.95" customHeight="1" x14ac:dyDescent="0.2">
      <c r="A921" s="1057"/>
      <c r="B921" s="1060"/>
      <c r="C921" s="1060"/>
      <c r="D921" s="1060"/>
      <c r="E921" s="1060"/>
      <c r="F921" s="1060"/>
      <c r="G921" s="1060"/>
      <c r="H921" s="1060"/>
      <c r="I921" s="1060"/>
      <c r="J921" s="1060"/>
      <c r="K921" s="1060"/>
      <c r="L921" s="1060"/>
      <c r="M921" s="1060"/>
      <c r="N921" s="1060"/>
      <c r="O921" s="1060"/>
      <c r="P921" s="1060"/>
      <c r="Q921" s="1060"/>
      <c r="R921" s="1060"/>
      <c r="S921" s="1061"/>
      <c r="T921" s="280">
        <f>ROUND((L921*I917+1.3*L921*K917+S921*H917),4)</f>
        <v>0</v>
      </c>
      <c r="U921" s="280">
        <f>ROUND((M921*0.9*I917+1.3*M921*0.9*K917+S921*H917),4)</f>
        <v>0</v>
      </c>
      <c r="V921" s="280">
        <f>ROUND((M921*I917+1.3*M921*K917+S921*H917),4)</f>
        <v>0</v>
      </c>
      <c r="W921" s="280">
        <f>ROUND((L921*J917+1.3*L921*N917+S921*G917),4)</f>
        <v>0</v>
      </c>
      <c r="X921" s="280">
        <f>ROUND((M921*0.9*J917+1.3*M921*0.9*N917+S921*G917),4)</f>
        <v>0</v>
      </c>
      <c r="Y921" s="280">
        <f>ROUND((M921*J917+1.3*M921*N917+S921*G917),4)</f>
        <v>0</v>
      </c>
      <c r="Z921" s="281">
        <f>ROUND((P917*T921*F917*O917/1000000),4)</f>
        <v>0</v>
      </c>
      <c r="AA921" s="281">
        <f>ROUND((Q917*U921*F917*O917/1000000),4)</f>
        <v>0</v>
      </c>
      <c r="AB921" s="281">
        <f>ROUND((R917*V921*F917*O917/1000000),4)</f>
        <v>0</v>
      </c>
      <c r="AC921" s="282" t="s">
        <v>250</v>
      </c>
      <c r="AD921" s="283" t="s">
        <v>208</v>
      </c>
      <c r="AE921" s="291">
        <f t="shared" si="18"/>
        <v>2.3800000000000002E-2</v>
      </c>
      <c r="AF921" s="291">
        <f t="shared" si="19"/>
        <v>1.7948999999999999</v>
      </c>
      <c r="AG921" s="292"/>
      <c r="AH921" s="292"/>
    </row>
    <row r="922" spans="1:34" s="285" customFormat="1" ht="12.95" customHeight="1" x14ac:dyDescent="0.2">
      <c r="A922" s="1062"/>
      <c r="B922" s="1063"/>
      <c r="C922" s="1063"/>
      <c r="D922" s="1063"/>
      <c r="E922" s="1063"/>
      <c r="F922" s="1063"/>
      <c r="G922" s="1063"/>
      <c r="H922" s="1063"/>
      <c r="I922" s="1063"/>
      <c r="J922" s="1063"/>
      <c r="K922" s="1063"/>
      <c r="L922" s="1063"/>
      <c r="M922" s="1063"/>
      <c r="N922" s="1063"/>
      <c r="O922" s="1063"/>
      <c r="P922" s="1063"/>
      <c r="Q922" s="1063"/>
      <c r="R922" s="1063"/>
      <c r="S922" s="1064"/>
      <c r="T922" s="280">
        <f>ROUND((L922*I917+1.3*L922*K917+S922*H917),4)</f>
        <v>0</v>
      </c>
      <c r="U922" s="280">
        <f>ROUND((M922*0.9*I917+1.3*M922*0.9*K917+S922*H917),4)</f>
        <v>0</v>
      </c>
      <c r="V922" s="280">
        <f>ROUND((M922*I917+1.3*M922*K917+S922*H917),4)</f>
        <v>0</v>
      </c>
      <c r="W922" s="280">
        <f>ROUND((L922*J917+1.3*L922*N917+S922*G917),4)</f>
        <v>0</v>
      </c>
      <c r="X922" s="280">
        <f>ROUND((M922*0.9*J917+1.3*M922*0.9*N917+S922*G917),4)</f>
        <v>0</v>
      </c>
      <c r="Y922" s="280">
        <f>ROUND((M922*J917+1.3*M922*N917+S922*G917),4)</f>
        <v>0</v>
      </c>
      <c r="Z922" s="281">
        <f>ROUND((P917*T922*F917*O917/1000000),4)</f>
        <v>0</v>
      </c>
      <c r="AA922" s="281">
        <f>ROUND((Q917*U922*F917*O917/1000000),4)</f>
        <v>0</v>
      </c>
      <c r="AB922" s="281">
        <f>ROUND((R917*V922*F917*O917/1000000),4)</f>
        <v>0</v>
      </c>
      <c r="AC922" s="282" t="s">
        <v>170</v>
      </c>
      <c r="AD922" s="283" t="s">
        <v>162</v>
      </c>
      <c r="AE922" s="291">
        <f t="shared" si="18"/>
        <v>0.12039999999999999</v>
      </c>
      <c r="AF922" s="291">
        <f t="shared" si="19"/>
        <v>8.5028999999999986</v>
      </c>
      <c r="AG922" s="290">
        <f>SUM(AE917:AE922)</f>
        <v>0.33980000000000005</v>
      </c>
      <c r="AH922" s="290">
        <f>SUM(AF917:AF922)</f>
        <v>28.257799999999996</v>
      </c>
    </row>
    <row r="923" spans="1:34" s="285" customFormat="1" ht="12.95" customHeight="1" x14ac:dyDescent="0.2">
      <c r="A923" s="1068" t="s">
        <v>119</v>
      </c>
      <c r="B923" s="1069"/>
      <c r="C923" s="1069"/>
      <c r="D923" s="1069"/>
      <c r="E923" s="1069"/>
      <c r="F923" s="1069"/>
      <c r="G923" s="1069"/>
      <c r="H923" s="1069"/>
      <c r="I923" s="1069"/>
      <c r="J923" s="1069"/>
      <c r="K923" s="1069"/>
      <c r="L923" s="1069"/>
      <c r="M923" s="1069"/>
      <c r="N923" s="1069"/>
      <c r="O923" s="1069"/>
      <c r="P923" s="1069"/>
      <c r="Q923" s="1069"/>
      <c r="R923" s="1069"/>
      <c r="S923" s="1069"/>
      <c r="T923" s="1069"/>
      <c r="U923" s="1069"/>
      <c r="V923" s="1069"/>
      <c r="W923" s="1069"/>
      <c r="X923" s="1069"/>
      <c r="Y923" s="1069"/>
      <c r="Z923" s="1069"/>
      <c r="AA923" s="1069"/>
      <c r="AB923" s="1069"/>
      <c r="AC923" s="1069"/>
      <c r="AD923" s="1069"/>
      <c r="AE923" s="1069"/>
      <c r="AF923" s="1070"/>
    </row>
    <row r="924" spans="1:34" ht="12.95" customHeight="1" x14ac:dyDescent="0.25">
      <c r="A924" s="45">
        <v>8030</v>
      </c>
      <c r="B924" s="46" t="s">
        <v>218</v>
      </c>
      <c r="C924" s="45">
        <v>4</v>
      </c>
      <c r="D924" s="45" t="s">
        <v>199</v>
      </c>
      <c r="E924" s="45">
        <v>1</v>
      </c>
      <c r="F924" s="45">
        <v>1</v>
      </c>
      <c r="G924" s="45">
        <v>6</v>
      </c>
      <c r="H924" s="45">
        <v>60</v>
      </c>
      <c r="I924" s="45">
        <f>(8-1-0.75*2)*60*F924-K924-8*0.12*60</f>
        <v>57.900000000000006</v>
      </c>
      <c r="J924" s="45">
        <v>14</v>
      </c>
      <c r="K924" s="45">
        <f>(8-1-0.75*2)*0.65*60*F924</f>
        <v>214.5</v>
      </c>
      <c r="L924" s="45">
        <v>2.4700000000000002</v>
      </c>
      <c r="M924" s="45">
        <v>2.4700000000000002</v>
      </c>
      <c r="N924" s="45">
        <v>10</v>
      </c>
      <c r="O924" s="45">
        <f>E924/F924</f>
        <v>1</v>
      </c>
      <c r="P924" s="45">
        <v>120</v>
      </c>
      <c r="Q924" s="45">
        <v>0</v>
      </c>
      <c r="R924" s="47">
        <v>0</v>
      </c>
      <c r="S924" s="45">
        <v>0.48</v>
      </c>
      <c r="T924" s="48">
        <f>ROUND((L924*I924+1.3*L924*K924+S924*H924),4)</f>
        <v>860.57249999999999</v>
      </c>
      <c r="U924" s="48">
        <f>ROUND((M924*I924+1.3*M924*K924+S924*H924),4)</f>
        <v>860.57249999999999</v>
      </c>
      <c r="V924" s="48">
        <f>ROUND((M924*I924+1.3*M924*K924+S924*H924),4)</f>
        <v>860.57249999999999</v>
      </c>
      <c r="W924" s="48">
        <f>ROUND((L924*J924+1.3*L924*N924+S924*G924),4)</f>
        <v>69.569999999999993</v>
      </c>
      <c r="X924" s="48">
        <f>ROUND((M924*J924+1.3*M924*N924+S924*G924),4)</f>
        <v>69.569999999999993</v>
      </c>
      <c r="Y924" s="48">
        <f>ROUND((M924*J924+1.3*M924*N924+S924*G924),4)</f>
        <v>69.569999999999993</v>
      </c>
      <c r="Z924" s="49">
        <f>ROUND((P924*T924*F924*O924/1000000),4)</f>
        <v>0.1033</v>
      </c>
      <c r="AA924" s="49">
        <f>ROUND((Q924*U924*F924*O924/1000000),4)</f>
        <v>0</v>
      </c>
      <c r="AB924" s="49">
        <f>ROUND((R924*V924*F924*O924/1000000),4)</f>
        <v>0</v>
      </c>
      <c r="AC924" s="50" t="s">
        <v>200</v>
      </c>
      <c r="AD924" s="51" t="s">
        <v>153</v>
      </c>
      <c r="AE924" s="44">
        <f>ROUND((((X924*E924)/1800)*0.8),4)</f>
        <v>3.09E-2</v>
      </c>
      <c r="AF924" s="44">
        <f>ROUND(((Z924+AA924+AB924)*0.8),4)</f>
        <v>8.2600000000000007E-2</v>
      </c>
    </row>
    <row r="925" spans="1:34" ht="12.95" customHeight="1" x14ac:dyDescent="0.25">
      <c r="A925" s="63"/>
      <c r="B925" s="53" t="s">
        <v>219</v>
      </c>
      <c r="C925" s="52"/>
      <c r="D925" s="52"/>
      <c r="E925" s="52"/>
      <c r="F925" s="63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68"/>
      <c r="T925" s="54"/>
      <c r="U925" s="54"/>
      <c r="V925" s="54"/>
      <c r="W925" s="54"/>
      <c r="X925" s="54"/>
      <c r="Y925" s="54"/>
      <c r="Z925" s="54"/>
      <c r="AA925" s="54"/>
      <c r="AB925" s="54"/>
      <c r="AC925" s="50" t="s">
        <v>201</v>
      </c>
      <c r="AD925" s="51" t="s">
        <v>202</v>
      </c>
      <c r="AE925" s="44">
        <f>ROUND((((X924*E924)/1800)*0.13),4)</f>
        <v>5.0000000000000001E-3</v>
      </c>
      <c r="AF925" s="44">
        <f>ROUND(((Z924+AA924+AB924)*0.13),4)</f>
        <v>1.34E-2</v>
      </c>
    </row>
    <row r="926" spans="1:34" ht="12.95" customHeight="1" x14ac:dyDescent="0.25">
      <c r="A926" s="63"/>
      <c r="B926" s="53"/>
      <c r="C926" s="55"/>
      <c r="D926" s="55"/>
      <c r="E926" s="52"/>
      <c r="F926" s="63"/>
      <c r="G926" s="52"/>
      <c r="H926" s="52"/>
      <c r="I926" s="52"/>
      <c r="J926" s="52"/>
      <c r="K926" s="52"/>
      <c r="L926" s="52">
        <v>0.19</v>
      </c>
      <c r="M926" s="52">
        <v>0.23</v>
      </c>
      <c r="N926" s="52"/>
      <c r="O926" s="52"/>
      <c r="P926" s="52"/>
      <c r="Q926" s="52"/>
      <c r="R926" s="52"/>
      <c r="S926" s="69">
        <v>9.7000000000000003E-2</v>
      </c>
      <c r="T926" s="48">
        <f>ROUND((L926*I924+1.3*L926*K924+S926*H924),4)</f>
        <v>69.802499999999995</v>
      </c>
      <c r="U926" s="48">
        <f>ROUND((M926*0.9*I924+1.3*M926*0.9*K924+S926*H924),4)</f>
        <v>75.527299999999997</v>
      </c>
      <c r="V926" s="48">
        <f>ROUND((M926*I924+1.3*M926*K924+S926*H924),4)</f>
        <v>83.272499999999994</v>
      </c>
      <c r="W926" s="48">
        <f>ROUND((L926*J924+1.3*L926*N924+S926*G924),4)</f>
        <v>5.7119999999999997</v>
      </c>
      <c r="X926" s="48">
        <f>ROUND((M926*0.9*J924+1.3*M926*0.9*N924+S926*G924),4)</f>
        <v>6.1710000000000003</v>
      </c>
      <c r="Y926" s="48">
        <f>ROUND((M926*J924+1.3*M926*N924+S926*G924),4)</f>
        <v>6.7919999999999998</v>
      </c>
      <c r="Z926" s="49">
        <f>ROUND((P924*T926*F924*O924/1000000),4)</f>
        <v>8.3999999999999995E-3</v>
      </c>
      <c r="AA926" s="49">
        <f>ROUND((Q924*U926*F924*O924/1000000),4)</f>
        <v>0</v>
      </c>
      <c r="AB926" s="49">
        <f>ROUND((R924*V926*F924*O924/1000000),4)</f>
        <v>0</v>
      </c>
      <c r="AC926" s="50" t="s">
        <v>203</v>
      </c>
      <c r="AD926" s="51" t="s">
        <v>204</v>
      </c>
      <c r="AE926" s="44">
        <f>ROUND((((X926*E924)/1800)),4)</f>
        <v>3.3999999999999998E-3</v>
      </c>
      <c r="AF926" s="44">
        <f>ROUND(((Z926+AA926+AB926)),5)</f>
        <v>8.3999999999999995E-3</v>
      </c>
    </row>
    <row r="927" spans="1:34" ht="12.95" customHeight="1" x14ac:dyDescent="0.25">
      <c r="A927" s="63"/>
      <c r="B927" s="98"/>
      <c r="C927" s="52"/>
      <c r="D927" s="52"/>
      <c r="E927" s="52"/>
      <c r="F927" s="63"/>
      <c r="G927" s="52"/>
      <c r="H927" s="52"/>
      <c r="I927" s="52"/>
      <c r="J927" s="52"/>
      <c r="K927" s="52"/>
      <c r="L927" s="52">
        <v>0.43</v>
      </c>
      <c r="M927" s="52">
        <v>0.51</v>
      </c>
      <c r="N927" s="52"/>
      <c r="O927" s="52"/>
      <c r="P927" s="52"/>
      <c r="Q927" s="52"/>
      <c r="R927" s="52"/>
      <c r="S927" s="69">
        <v>0.3</v>
      </c>
      <c r="T927" s="48">
        <f>ROUND((L927*I924+1.3*L927*K924+S927*H924),4)</f>
        <v>162.80250000000001</v>
      </c>
      <c r="U927" s="48">
        <f>ROUND((M927*0.9*I924+1.3*M927*0.9*K924+S927*H924),4)</f>
        <v>172.56829999999999</v>
      </c>
      <c r="V927" s="48">
        <f>ROUND((M927*I924+1.3*M927*K924+S927*H924),4)</f>
        <v>189.74250000000001</v>
      </c>
      <c r="W927" s="48">
        <f>ROUND((L927*J924+1.3*L927*N924+S927*G924),4)</f>
        <v>13.41</v>
      </c>
      <c r="X927" s="48">
        <f>ROUND((M927*0.9*J924+1.3*M927*0.9*N924+S927*G924),4)</f>
        <v>14.193</v>
      </c>
      <c r="Y927" s="48">
        <f>ROUND((M927*J924+1.3*N924+S927*G924),4)</f>
        <v>21.94</v>
      </c>
      <c r="Z927" s="49">
        <f>ROUND((P924*T927*F924*O924/1000000),4)</f>
        <v>1.95E-2</v>
      </c>
      <c r="AA927" s="49">
        <f>ROUND((Q924*U927*F924*O924/1000000),4)</f>
        <v>0</v>
      </c>
      <c r="AB927" s="49">
        <f>ROUND((R924*V927*F924*O924/1000000),4)</f>
        <v>0</v>
      </c>
      <c r="AC927" s="50" t="s">
        <v>205</v>
      </c>
      <c r="AD927" s="51" t="s">
        <v>206</v>
      </c>
      <c r="AE927" s="44">
        <f>ROUND((((X927*E924)/1800)),4)</f>
        <v>7.9000000000000008E-3</v>
      </c>
      <c r="AF927" s="44">
        <f>ROUND(((Z927+AA927+AB927)),4)</f>
        <v>1.95E-2</v>
      </c>
    </row>
    <row r="928" spans="1:34" ht="12.95" customHeight="1" x14ac:dyDescent="0.25">
      <c r="A928" s="63"/>
      <c r="B928" s="53"/>
      <c r="C928" s="52"/>
      <c r="D928" s="52"/>
      <c r="E928" s="52"/>
      <c r="F928" s="63"/>
      <c r="G928" s="52"/>
      <c r="H928" s="52"/>
      <c r="I928" s="52"/>
      <c r="J928" s="52"/>
      <c r="K928" s="52"/>
      <c r="L928" s="52">
        <v>0.27</v>
      </c>
      <c r="M928" s="52">
        <v>0.41</v>
      </c>
      <c r="N928" s="52"/>
      <c r="O928" s="52"/>
      <c r="P928" s="52"/>
      <c r="Q928" s="52"/>
      <c r="R928" s="52"/>
      <c r="S928" s="69">
        <v>0.06</v>
      </c>
      <c r="T928" s="48">
        <f>ROUND((L928*I924+1.3*L928*K924+S928*H924),4)</f>
        <v>94.522499999999994</v>
      </c>
      <c r="U928" s="48">
        <f>ROUND((M928*0.9*I924+1.3*M928*0.9*K924+S928*H924),4)</f>
        <v>127.8608</v>
      </c>
      <c r="V928" s="48">
        <f>ROUND((M928*I924+1.3*M928*K924+S928*H924),4)</f>
        <v>141.66749999999999</v>
      </c>
      <c r="W928" s="48">
        <f>ROUND((L928*J924+1.3*L928*N924+S928*G924),4)</f>
        <v>7.65</v>
      </c>
      <c r="X928" s="48">
        <f>ROUND((M928*0.9*J924+1.3*M928*0.9*N924+S928*G924),4)</f>
        <v>10.323</v>
      </c>
      <c r="Y928" s="48">
        <f>ROUND((M928*J924+1.3*M928*N924+S928*G924),4)</f>
        <v>11.43</v>
      </c>
      <c r="Z928" s="49">
        <f>ROUND((P924*T928*F924*O924/1000000),4)</f>
        <v>1.1299999999999999E-2</v>
      </c>
      <c r="AA928" s="49">
        <f>ROUND((Q924*U928*F924*O924/1000000),4)</f>
        <v>0</v>
      </c>
      <c r="AB928" s="49">
        <f>ROUND((R924*V928*F924*O924/1000000),4)</f>
        <v>0</v>
      </c>
      <c r="AC928" s="50" t="s">
        <v>250</v>
      </c>
      <c r="AD928" s="51" t="s">
        <v>208</v>
      </c>
      <c r="AE928" s="44">
        <f>ROUND((((X928*E924)/1800)),4)</f>
        <v>5.7000000000000002E-3</v>
      </c>
      <c r="AF928" s="44">
        <f>ROUND(((Z928+AA928+AB928)),4)</f>
        <v>1.1299999999999999E-2</v>
      </c>
    </row>
    <row r="929" spans="1:32" ht="12.95" customHeight="1" x14ac:dyDescent="0.25">
      <c r="A929" s="63"/>
      <c r="B929" s="53"/>
      <c r="C929" s="56"/>
      <c r="D929" s="56"/>
      <c r="E929" s="56"/>
      <c r="F929" s="66"/>
      <c r="G929" s="56"/>
      <c r="H929" s="56"/>
      <c r="I929" s="56"/>
      <c r="J929" s="56"/>
      <c r="K929" s="56"/>
      <c r="L929" s="56">
        <v>1.29</v>
      </c>
      <c r="M929" s="56">
        <v>1.57</v>
      </c>
      <c r="N929" s="56"/>
      <c r="O929" s="56"/>
      <c r="P929" s="56"/>
      <c r="Q929" s="56"/>
      <c r="R929" s="56"/>
      <c r="S929" s="69">
        <v>2.4</v>
      </c>
      <c r="T929" s="70">
        <f>ROUND((L929*I924+1.3*L929*K924+S929*H924),4)</f>
        <v>578.40750000000003</v>
      </c>
      <c r="U929" s="70">
        <f>ROUND((M929*0.9*I924+1.3*M929*0.9*K924+S929*H924),4)</f>
        <v>619.82780000000002</v>
      </c>
      <c r="V929" s="70">
        <f>ROUND((M929*I924+1.3*M929*K924+S929*H924),4)</f>
        <v>672.69749999999999</v>
      </c>
      <c r="W929" s="70">
        <f>ROUND((L929*J924+1.3*L929*N924+S929*G924),4)</f>
        <v>49.23</v>
      </c>
      <c r="X929" s="70">
        <f>ROUND((M929*0.9*J924+1.3*M929*0.9*N924+S929*G924),4)</f>
        <v>52.551000000000002</v>
      </c>
      <c r="Y929" s="70">
        <f>ROUND((M929*J924+1.3*M929*N924+S929*G924),4)</f>
        <v>56.79</v>
      </c>
      <c r="Z929" s="71">
        <f>ROUND((P924*T929*F924*O924/1000000),4)</f>
        <v>6.9400000000000003E-2</v>
      </c>
      <c r="AA929" s="71">
        <f>ROUND((Q924*U929*F924*O924/1000000),4)</f>
        <v>0</v>
      </c>
      <c r="AB929" s="71">
        <f>ROUND((R924*V929*F924*O924/1000000),4)</f>
        <v>0</v>
      </c>
      <c r="AC929" s="50" t="s">
        <v>170</v>
      </c>
      <c r="AD929" s="51" t="s">
        <v>162</v>
      </c>
      <c r="AE929" s="44">
        <f>ROUND((((X929*E924)/1800)),4)</f>
        <v>2.92E-2</v>
      </c>
      <c r="AF929" s="44">
        <f>ROUND(((Z929+AA929+AB929)),4)</f>
        <v>6.9400000000000003E-2</v>
      </c>
    </row>
    <row r="930" spans="1:32" ht="12.95" customHeight="1" x14ac:dyDescent="0.25">
      <c r="A930" s="63"/>
      <c r="B930" s="46" t="s">
        <v>211</v>
      </c>
      <c r="C930" s="46">
        <v>5</v>
      </c>
      <c r="D930" s="45" t="s">
        <v>209</v>
      </c>
      <c r="E930" s="45">
        <v>1</v>
      </c>
      <c r="F930" s="45">
        <v>1</v>
      </c>
      <c r="G930" s="45">
        <v>6</v>
      </c>
      <c r="H930" s="45">
        <v>60</v>
      </c>
      <c r="I930" s="45">
        <f>(8-1-0.75*2)*60*F930-K930-8*0.12*60</f>
        <v>57.900000000000006</v>
      </c>
      <c r="J930" s="45">
        <v>14</v>
      </c>
      <c r="K930" s="45">
        <f>(8-1-0.75*2)*0.65*60*F930</f>
        <v>214.5</v>
      </c>
      <c r="L930" s="48">
        <v>4.01</v>
      </c>
      <c r="M930" s="48">
        <v>4.01</v>
      </c>
      <c r="N930" s="45">
        <v>10</v>
      </c>
      <c r="O930" s="45">
        <f>E930/F930</f>
        <v>1</v>
      </c>
      <c r="P930" s="45">
        <v>150</v>
      </c>
      <c r="Q930" s="45">
        <v>30</v>
      </c>
      <c r="R930" s="47">
        <v>30</v>
      </c>
      <c r="S930" s="47">
        <v>0.78</v>
      </c>
      <c r="T930" s="48">
        <f>ROUND((L930*I930+1.3*L930*K930+S930*H930),4)</f>
        <v>1397.1675</v>
      </c>
      <c r="U930" s="48">
        <f>ROUND((M930*I930+1.3*M930*K930+S930*H930),4)</f>
        <v>1397.1675</v>
      </c>
      <c r="V930" s="48">
        <f>ROUND((M930*I930+1.3*M930*K930+S930*H930),4)</f>
        <v>1397.1675</v>
      </c>
      <c r="W930" s="48">
        <f>ROUND((L930*J930+1.3*L930*N930+S930*G930),4)</f>
        <v>112.95</v>
      </c>
      <c r="X930" s="48">
        <f>ROUND((M930*J930+1.3*M930*N930+S930*G930),4)</f>
        <v>112.95</v>
      </c>
      <c r="Y930" s="48">
        <f>ROUND((M930*J930+1.3*M930*N930+S930*G930),4)</f>
        <v>112.95</v>
      </c>
      <c r="Z930" s="49">
        <f>ROUND((P930*T930*F930*O930/1000000),4)</f>
        <v>0.20960000000000001</v>
      </c>
      <c r="AA930" s="49">
        <f>ROUND((Q930*U930*F930*O930/1000000),4)</f>
        <v>4.19E-2</v>
      </c>
      <c r="AB930" s="49">
        <f>ROUND((R930*V930*F930*O930/1000000),4)</f>
        <v>4.19E-2</v>
      </c>
      <c r="AC930" s="50" t="s">
        <v>200</v>
      </c>
      <c r="AD930" s="51" t="s">
        <v>153</v>
      </c>
      <c r="AE930" s="44">
        <f>ROUND((((X930*E930)/1800)*0.8),4)</f>
        <v>5.0200000000000002E-2</v>
      </c>
      <c r="AF930" s="44">
        <f>ROUND(((Z930+AA930+AB930)*0.8),4)</f>
        <v>0.23469999999999999</v>
      </c>
    </row>
    <row r="931" spans="1:32" ht="12.95" customHeight="1" x14ac:dyDescent="0.25">
      <c r="A931" s="63"/>
      <c r="B931" s="73" t="s">
        <v>212</v>
      </c>
      <c r="C931" s="53"/>
      <c r="D931" s="52"/>
      <c r="E931" s="52"/>
      <c r="F931" s="52"/>
      <c r="G931" s="52"/>
      <c r="H931" s="52"/>
      <c r="I931" s="52"/>
      <c r="J931" s="52"/>
      <c r="K931" s="52"/>
      <c r="L931" s="56"/>
      <c r="M931" s="56"/>
      <c r="N931" s="52"/>
      <c r="O931" s="52"/>
      <c r="P931" s="63"/>
      <c r="Q931" s="63"/>
      <c r="R931" s="63"/>
      <c r="S931" s="57"/>
      <c r="T931" s="54"/>
      <c r="U931" s="54"/>
      <c r="V931" s="54"/>
      <c r="W931" s="54"/>
      <c r="X931" s="54"/>
      <c r="Y931" s="54"/>
      <c r="Z931" s="54"/>
      <c r="AA931" s="54"/>
      <c r="AB931" s="54"/>
      <c r="AC931" s="50" t="s">
        <v>201</v>
      </c>
      <c r="AD931" s="51" t="s">
        <v>202</v>
      </c>
      <c r="AE931" s="44">
        <f>ROUND((((X930*E930)/1800)*0.13),4)</f>
        <v>8.2000000000000007E-3</v>
      </c>
      <c r="AF931" s="44">
        <f>ROUND(((Z930+AA930+AB930)*0.13),4)</f>
        <v>3.8100000000000002E-2</v>
      </c>
    </row>
    <row r="932" spans="1:32" ht="12.95" customHeight="1" x14ac:dyDescent="0.25">
      <c r="A932" s="63"/>
      <c r="B932" s="64"/>
      <c r="C932" s="58"/>
      <c r="D932" s="55"/>
      <c r="E932" s="52"/>
      <c r="F932" s="52"/>
      <c r="G932" s="52"/>
      <c r="H932" s="52"/>
      <c r="I932" s="52"/>
      <c r="J932" s="52"/>
      <c r="K932" s="52"/>
      <c r="L932" s="59">
        <v>0.31</v>
      </c>
      <c r="M932" s="59">
        <v>0.38</v>
      </c>
      <c r="N932" s="52"/>
      <c r="O932" s="52"/>
      <c r="P932" s="63"/>
      <c r="Q932" s="63"/>
      <c r="R932" s="63"/>
      <c r="S932" s="60">
        <v>0.16</v>
      </c>
      <c r="T932" s="48">
        <f>ROUND((L932*I930+1.3*L932*K930+S932*H930),4)</f>
        <v>113.99250000000001</v>
      </c>
      <c r="U932" s="48">
        <f>ROUND((M932*0.9*I930+1.3*M932*0.9*K930+S932*H930),4)</f>
        <v>124.7685</v>
      </c>
      <c r="V932" s="48">
        <f>ROUND((M932*I930+1.3*M932*K930+S932*H930),4)</f>
        <v>137.565</v>
      </c>
      <c r="W932" s="48">
        <f>ROUND((L932*J930+1.3*L932*N930+S932*G930),4)</f>
        <v>9.33</v>
      </c>
      <c r="X932" s="48">
        <f>ROUND((M932*0.9*J930+1.3*M932*0.9*N930+S932*G930),4)</f>
        <v>10.194000000000001</v>
      </c>
      <c r="Y932" s="48">
        <f>ROUND((M932*J930+1.3*M932*N930+S932*G930),4)</f>
        <v>11.22</v>
      </c>
      <c r="Z932" s="49">
        <f>ROUND((P930*T932*F930*O930/1000000),4)</f>
        <v>1.7100000000000001E-2</v>
      </c>
      <c r="AA932" s="49">
        <f>ROUND((Q930*U932*F930*O930/1000000),4)</f>
        <v>3.7000000000000002E-3</v>
      </c>
      <c r="AB932" s="49">
        <f>ROUND((R930*V932*F930*O930/1000000),4)</f>
        <v>4.1000000000000003E-3</v>
      </c>
      <c r="AC932" s="50" t="s">
        <v>203</v>
      </c>
      <c r="AD932" s="51" t="s">
        <v>204</v>
      </c>
      <c r="AE932" s="44">
        <f>ROUND((((X932*E930)/1800)),4)</f>
        <v>5.7000000000000002E-3</v>
      </c>
      <c r="AF932" s="44">
        <f>ROUND(((Z932+AA932+AB932)),5)</f>
        <v>2.4899999999999999E-2</v>
      </c>
    </row>
    <row r="933" spans="1:32" ht="12.95" customHeight="1" x14ac:dyDescent="0.25">
      <c r="A933" s="63"/>
      <c r="B933" s="64"/>
      <c r="C933" s="53"/>
      <c r="D933" s="52"/>
      <c r="E933" s="52"/>
      <c r="F933" s="52"/>
      <c r="G933" s="52"/>
      <c r="H933" s="52"/>
      <c r="I933" s="52"/>
      <c r="J933" s="52"/>
      <c r="K933" s="52"/>
      <c r="L933" s="59">
        <v>0.71</v>
      </c>
      <c r="M933" s="59">
        <v>0.85</v>
      </c>
      <c r="N933" s="52"/>
      <c r="O933" s="52"/>
      <c r="P933" s="63"/>
      <c r="Q933" s="63"/>
      <c r="R933" s="63"/>
      <c r="S933" s="61">
        <v>0.49</v>
      </c>
      <c r="T933" s="48">
        <f>ROUND((L933*I930+1.3*L933*K930+S933*H930),4)</f>
        <v>268.49250000000001</v>
      </c>
      <c r="U933" s="48">
        <f>ROUND((M933*0.9*I930+1.3*M933*0.9*K930+S933*H930),4)</f>
        <v>287.0138</v>
      </c>
      <c r="V933" s="48">
        <f>ROUND((M933*I930+1.3*M933*K930+S933*H930),4)</f>
        <v>315.63749999999999</v>
      </c>
      <c r="W933" s="48">
        <f>ROUND((L933*J930+1.3*L933*N930+S933*G930),4)</f>
        <v>22.11</v>
      </c>
      <c r="X933" s="48">
        <f>ROUND((M933*0.9*J930+1.3*M933*0.9*N930+S933*G930),4)</f>
        <v>23.594999999999999</v>
      </c>
      <c r="Y933" s="48">
        <f>ROUND((M933*J930+1.3*N930+S933*G930),4)</f>
        <v>27.84</v>
      </c>
      <c r="Z933" s="49">
        <f>ROUND((P930*T933*F930*O930/1000000),4)</f>
        <v>4.0300000000000002E-2</v>
      </c>
      <c r="AA933" s="49">
        <f>ROUND((Q930*U933*F930*O930/1000000),4)</f>
        <v>8.6E-3</v>
      </c>
      <c r="AB933" s="49">
        <f>ROUND((R930*V933*F930*O930/1000000),4)</f>
        <v>9.4999999999999998E-3</v>
      </c>
      <c r="AC933" s="50" t="s">
        <v>205</v>
      </c>
      <c r="AD933" s="51" t="s">
        <v>206</v>
      </c>
      <c r="AE933" s="44">
        <f>ROUND((((X933*E930)/1800)),4)</f>
        <v>1.3100000000000001E-2</v>
      </c>
      <c r="AF933" s="44">
        <f>ROUND(((Z933+AA933+AB933)),4)</f>
        <v>5.8400000000000001E-2</v>
      </c>
    </row>
    <row r="934" spans="1:32" ht="12.95" customHeight="1" x14ac:dyDescent="0.25">
      <c r="A934" s="63"/>
      <c r="B934" s="64"/>
      <c r="C934" s="53"/>
      <c r="D934" s="52"/>
      <c r="E934" s="52"/>
      <c r="F934" s="52"/>
      <c r="G934" s="52"/>
      <c r="H934" s="52"/>
      <c r="I934" s="52"/>
      <c r="J934" s="52"/>
      <c r="K934" s="52"/>
      <c r="L934" s="59">
        <v>0.45</v>
      </c>
      <c r="M934" s="59">
        <v>0.67</v>
      </c>
      <c r="N934" s="52"/>
      <c r="O934" s="52"/>
      <c r="P934" s="63"/>
      <c r="Q934" s="63"/>
      <c r="R934" s="63"/>
      <c r="S934" s="61">
        <v>0.1</v>
      </c>
      <c r="T934" s="48">
        <f>ROUND((L934*I930+1.3*L934*K930+S934*H930),4)</f>
        <v>157.53749999999999</v>
      </c>
      <c r="U934" s="48">
        <f>ROUND((M934*0.9*I930+1.3*M934*0.9*K930+S934*H930),4)</f>
        <v>209.06030000000001</v>
      </c>
      <c r="V934" s="48">
        <f>ROUND((M934*I930+1.3*M934*K930+S934*H930),4)</f>
        <v>231.6225</v>
      </c>
      <c r="W934" s="48">
        <f>ROUND((L934*J930+1.3*L934*N930+S934*G930),4)</f>
        <v>12.75</v>
      </c>
      <c r="X934" s="48">
        <f>ROUND((M934*0.9*J930+1.3*M934*0.9*N930+S934*G930),4)</f>
        <v>16.881</v>
      </c>
      <c r="Y934" s="48">
        <f>ROUND((M934*J930+1.3*M934*N930+S934*G930),4)</f>
        <v>18.690000000000001</v>
      </c>
      <c r="Z934" s="49">
        <f>ROUND((P930*T934*F930*O930/1000000),4)</f>
        <v>2.3599999999999999E-2</v>
      </c>
      <c r="AA934" s="49">
        <f>ROUND((Q930*U934*F930*O930/1000000),4)</f>
        <v>6.3E-3</v>
      </c>
      <c r="AB934" s="49">
        <f>ROUND((R930*V934*F930*O930/1000000),4)</f>
        <v>6.8999999999999999E-3</v>
      </c>
      <c r="AC934" s="50" t="s">
        <v>250</v>
      </c>
      <c r="AD934" s="51" t="s">
        <v>208</v>
      </c>
      <c r="AE934" s="44">
        <f>ROUND((((X934*E930)/1800)),4)</f>
        <v>9.4000000000000004E-3</v>
      </c>
      <c r="AF934" s="44">
        <f>ROUND(((Z934+AA934+AB934)),4)</f>
        <v>3.6799999999999999E-2</v>
      </c>
    </row>
    <row r="935" spans="1:32" ht="12.95" customHeight="1" x14ac:dyDescent="0.25">
      <c r="A935" s="63"/>
      <c r="B935" s="72"/>
      <c r="C935" s="62"/>
      <c r="D935" s="56"/>
      <c r="E935" s="56"/>
      <c r="F935" s="56"/>
      <c r="G935" s="56"/>
      <c r="H935" s="56"/>
      <c r="I935" s="56"/>
      <c r="J935" s="56"/>
      <c r="K935" s="56"/>
      <c r="L935" s="59">
        <v>2.09</v>
      </c>
      <c r="M935" s="59">
        <v>2.5499999999999998</v>
      </c>
      <c r="N935" s="56"/>
      <c r="O935" s="56"/>
      <c r="P935" s="66"/>
      <c r="Q935" s="66"/>
      <c r="R935" s="66"/>
      <c r="S935" s="61">
        <v>3.91</v>
      </c>
      <c r="T935" s="48">
        <f>ROUND((L935*I930+1.3*L935*K930+S935*H930),4)</f>
        <v>938.40750000000003</v>
      </c>
      <c r="U935" s="48">
        <f>ROUND((M935*0.9*I930+1.3*M935*0.9*K930+S935*H930),4)</f>
        <v>1007.4413</v>
      </c>
      <c r="V935" s="48">
        <f>ROUND((M935*I930+1.3*M935*K930+S935*H930),4)</f>
        <v>1093.3125</v>
      </c>
      <c r="W935" s="48">
        <f>ROUND((L935*J930+1.3*L935*N930+S935*G930),4)</f>
        <v>79.89</v>
      </c>
      <c r="X935" s="48">
        <f>ROUND((M935*0.9*J930+1.3*M935*0.9*N930+S935*G930),4)</f>
        <v>85.424999999999997</v>
      </c>
      <c r="Y935" s="48">
        <f>ROUND((M935*J930+1.3*M935*N930+S935*G930),4)</f>
        <v>92.31</v>
      </c>
      <c r="Z935" s="49">
        <f>ROUND((P930*T935*F930*O930/1000000),4)</f>
        <v>0.14080000000000001</v>
      </c>
      <c r="AA935" s="49">
        <f>ROUND((Q930*U935*F930*O930/1000000),4)</f>
        <v>3.0200000000000001E-2</v>
      </c>
      <c r="AB935" s="49">
        <f>ROUND((R930*V935*F930*O930/1000000),4)</f>
        <v>3.2800000000000003E-2</v>
      </c>
      <c r="AC935" s="50" t="s">
        <v>170</v>
      </c>
      <c r="AD935" s="51" t="s">
        <v>162</v>
      </c>
      <c r="AE935" s="44">
        <f>ROUND((((X935*E930)/1800)),4)</f>
        <v>4.7500000000000001E-2</v>
      </c>
      <c r="AF935" s="44">
        <f>ROUND(((Z935+AA935+AB935)),4)</f>
        <v>0.20380000000000001</v>
      </c>
    </row>
    <row r="936" spans="1:32" ht="12.95" customHeight="1" x14ac:dyDescent="0.25">
      <c r="A936" s="52"/>
      <c r="B936" s="46" t="s">
        <v>211</v>
      </c>
      <c r="C936" s="46">
        <v>6</v>
      </c>
      <c r="D936" s="45" t="s">
        <v>210</v>
      </c>
      <c r="E936" s="45">
        <v>1</v>
      </c>
      <c r="F936" s="45">
        <v>1</v>
      </c>
      <c r="G936" s="45">
        <v>6</v>
      </c>
      <c r="H936" s="45">
        <v>60</v>
      </c>
      <c r="I936" s="45">
        <f>(8-1-0.75*2)*60*F936-K936-8*0.12*60</f>
        <v>57.900000000000006</v>
      </c>
      <c r="J936" s="45">
        <v>14</v>
      </c>
      <c r="K936" s="45">
        <f>(8-1-0.75*2)*0.65*60*F936</f>
        <v>214.5</v>
      </c>
      <c r="L936" s="48">
        <v>6.47</v>
      </c>
      <c r="M936" s="48">
        <v>6.47</v>
      </c>
      <c r="N936" s="45">
        <v>10</v>
      </c>
      <c r="O936" s="45">
        <f>E936/F936</f>
        <v>1</v>
      </c>
      <c r="P936" s="45">
        <v>150</v>
      </c>
      <c r="Q936" s="45">
        <v>30</v>
      </c>
      <c r="R936" s="47">
        <v>30</v>
      </c>
      <c r="S936" s="47">
        <v>1.27</v>
      </c>
      <c r="T936" s="48">
        <f>ROUND((L936*I936+1.3*L936*K936+S936*H936),4)</f>
        <v>2254.9724999999999</v>
      </c>
      <c r="U936" s="48">
        <f>ROUND((M936*I936+1.3*M936*K936+S936*H936),4)</f>
        <v>2254.9724999999999</v>
      </c>
      <c r="V936" s="48">
        <f>ROUND((M936*I936+1.3*M936*K936+S936*H936),4)</f>
        <v>2254.9724999999999</v>
      </c>
      <c r="W936" s="48">
        <f>ROUND((L936*J936+1.3*L936*N936+S936*G936),4)</f>
        <v>182.31</v>
      </c>
      <c r="X936" s="48">
        <f>ROUND((M936*J936+1.3*M936*N936+S936*G936),4)</f>
        <v>182.31</v>
      </c>
      <c r="Y936" s="48">
        <f>ROUND((M936*J936+1.3*M936*N936+S936*G936),4)</f>
        <v>182.31</v>
      </c>
      <c r="Z936" s="49">
        <f>ROUND((P936*T936*F936*O936/1000000),4)</f>
        <v>0.3382</v>
      </c>
      <c r="AA936" s="49">
        <f>ROUND((Q936*U936*F936*O936/1000000),4)</f>
        <v>6.7599999999999993E-2</v>
      </c>
      <c r="AB936" s="49">
        <f>ROUND((R936*V936*F936*O936/1000000),4)</f>
        <v>6.7599999999999993E-2</v>
      </c>
      <c r="AC936" s="50" t="s">
        <v>200</v>
      </c>
      <c r="AD936" s="51" t="s">
        <v>153</v>
      </c>
      <c r="AE936" s="44">
        <f>ROUND((((X936*E936)/1800)*0.8),4)</f>
        <v>8.1000000000000003E-2</v>
      </c>
      <c r="AF936" s="44">
        <f>ROUND(((Z936+AA936+AB936)*0.8),4)</f>
        <v>0.37869999999999998</v>
      </c>
    </row>
    <row r="937" spans="1:32" ht="12.95" customHeight="1" x14ac:dyDescent="0.25">
      <c r="A937" s="52"/>
      <c r="B937" s="53" t="s">
        <v>213</v>
      </c>
      <c r="C937" s="52"/>
      <c r="D937" s="52"/>
      <c r="E937" s="63"/>
      <c r="F937" s="63"/>
      <c r="G937" s="52"/>
      <c r="H937" s="52"/>
      <c r="I937" s="52"/>
      <c r="J937" s="52"/>
      <c r="K937" s="52"/>
      <c r="L937" s="56"/>
      <c r="M937" s="56"/>
      <c r="N937" s="52"/>
      <c r="O937" s="52"/>
      <c r="P937" s="63"/>
      <c r="Q937" s="63"/>
      <c r="R937" s="63"/>
      <c r="S937" s="57"/>
      <c r="T937" s="54"/>
      <c r="U937" s="54"/>
      <c r="V937" s="54"/>
      <c r="W937" s="54"/>
      <c r="X937" s="54"/>
      <c r="Y937" s="54"/>
      <c r="Z937" s="54"/>
      <c r="AA937" s="54"/>
      <c r="AB937" s="54"/>
      <c r="AC937" s="50" t="s">
        <v>201</v>
      </c>
      <c r="AD937" s="51" t="s">
        <v>202</v>
      </c>
      <c r="AE937" s="44">
        <f>ROUND((((X936*E936)/1800)*0.13),4)</f>
        <v>1.32E-2</v>
      </c>
      <c r="AF937" s="44">
        <f>ROUND(((Z936+AA936+AB936)*0.13),4)</f>
        <v>6.1499999999999999E-2</v>
      </c>
    </row>
    <row r="938" spans="1:32" ht="12.95" customHeight="1" x14ac:dyDescent="0.25">
      <c r="A938" s="52"/>
      <c r="B938" s="98"/>
      <c r="C938" s="55"/>
      <c r="D938" s="55"/>
      <c r="E938" s="63"/>
      <c r="F938" s="63"/>
      <c r="G938" s="52"/>
      <c r="H938" s="52"/>
      <c r="I938" s="52"/>
      <c r="J938" s="52"/>
      <c r="K938" s="52"/>
      <c r="L938" s="59">
        <v>0.51</v>
      </c>
      <c r="M938" s="59">
        <v>0.63</v>
      </c>
      <c r="N938" s="52"/>
      <c r="O938" s="52"/>
      <c r="P938" s="63"/>
      <c r="Q938" s="63"/>
      <c r="R938" s="63"/>
      <c r="S938" s="60">
        <v>0.25</v>
      </c>
      <c r="T938" s="48">
        <f>ROUND((L938*I936+1.3*L938*K936+S938*H936),4)</f>
        <v>186.74250000000001</v>
      </c>
      <c r="U938" s="48">
        <f>ROUND((M938*0.9*I936+1.3*M938*0.9*K936+S938*H936),4)</f>
        <v>205.93729999999999</v>
      </c>
      <c r="V938" s="48">
        <f>ROUND((M938*I936+1.3*M938*K936+S938*H936),4)</f>
        <v>227.1525</v>
      </c>
      <c r="W938" s="48">
        <f>ROUND((L938*J936+1.3*L938*N936+S938*G936),4)</f>
        <v>15.27</v>
      </c>
      <c r="X938" s="48">
        <f>ROUND((M938*0.9*J936+1.3*M938*0.9*N936+S938*G936),4)</f>
        <v>16.809000000000001</v>
      </c>
      <c r="Y938" s="48">
        <f>ROUND((M938*J936+1.3*M938*N936+S938*G936),4)</f>
        <v>18.510000000000002</v>
      </c>
      <c r="Z938" s="49">
        <f>ROUND((P936*T938*F936*O936/1000000),4)</f>
        <v>2.8000000000000001E-2</v>
      </c>
      <c r="AA938" s="49">
        <f>ROUND((Q936*U938*F936*O936/1000000),4)</f>
        <v>6.1999999999999998E-3</v>
      </c>
      <c r="AB938" s="49">
        <f>ROUND((R936*V938*F936*O936/1000000),4)</f>
        <v>6.7999999999999996E-3</v>
      </c>
      <c r="AC938" s="50" t="s">
        <v>203</v>
      </c>
      <c r="AD938" s="51" t="s">
        <v>204</v>
      </c>
      <c r="AE938" s="44">
        <f>ROUND((((X938*E936)/1800)),4)</f>
        <v>9.2999999999999992E-3</v>
      </c>
      <c r="AF938" s="44">
        <f>ROUND(((Z938+AA938+AB938)),5)</f>
        <v>4.1000000000000002E-2</v>
      </c>
    </row>
    <row r="939" spans="1:32" ht="12.95" customHeight="1" x14ac:dyDescent="0.25">
      <c r="A939" s="52"/>
      <c r="B939" s="53"/>
      <c r="C939" s="52"/>
      <c r="D939" s="52"/>
      <c r="E939" s="63"/>
      <c r="F939" s="63"/>
      <c r="G939" s="52"/>
      <c r="H939" s="52"/>
      <c r="I939" s="52"/>
      <c r="J939" s="52"/>
      <c r="K939" s="52"/>
      <c r="L939" s="59">
        <v>1.1399999999999999</v>
      </c>
      <c r="M939" s="59">
        <v>1.37</v>
      </c>
      <c r="N939" s="52"/>
      <c r="O939" s="52"/>
      <c r="P939" s="63"/>
      <c r="Q939" s="63"/>
      <c r="R939" s="63"/>
      <c r="S939" s="61">
        <v>0.79</v>
      </c>
      <c r="T939" s="48">
        <f>ROUND((L939*I936+1.3*L939*K936+S939*H936),4)</f>
        <v>431.29500000000002</v>
      </c>
      <c r="U939" s="48">
        <f>ROUND((M939*0.9*I936+1.3*M939*0.9*K936+S939*H936),4)</f>
        <v>462.61279999999999</v>
      </c>
      <c r="V939" s="48">
        <f>ROUND((M939*I936+1.3*M939*K936+S939*H936),4)</f>
        <v>508.7475</v>
      </c>
      <c r="W939" s="48">
        <f>ROUND((L939*J936+1.3*L939*N936+S939*G936),4)</f>
        <v>35.520000000000003</v>
      </c>
      <c r="X939" s="48">
        <f>ROUND((M939*0.9*J936+1.3*M939*0.9*N936+S939*G936),4)</f>
        <v>38.030999999999999</v>
      </c>
      <c r="Y939" s="48">
        <f>ROUND((M939*J936+1.3*N936+S939*G936),4)</f>
        <v>36.92</v>
      </c>
      <c r="Z939" s="49">
        <f>ROUND((P936*T939*F936*O936/1000000),4)</f>
        <v>6.4699999999999994E-2</v>
      </c>
      <c r="AA939" s="49">
        <f>ROUND((Q936*U939*F936*O936/1000000),4)</f>
        <v>1.3899999999999999E-2</v>
      </c>
      <c r="AB939" s="49">
        <f>ROUND((R936*V939*F936*O936/1000000),4)</f>
        <v>1.5299999999999999E-2</v>
      </c>
      <c r="AC939" s="50" t="s">
        <v>205</v>
      </c>
      <c r="AD939" s="51" t="s">
        <v>206</v>
      </c>
      <c r="AE939" s="44">
        <f>ROUND((((X939*E936)/1800)),4)</f>
        <v>2.1100000000000001E-2</v>
      </c>
      <c r="AF939" s="44">
        <f>ROUND(((Z939+AA939+AB939)),4)</f>
        <v>9.3899999999999997E-2</v>
      </c>
    </row>
    <row r="940" spans="1:32" ht="12.95" customHeight="1" x14ac:dyDescent="0.25">
      <c r="A940" s="52"/>
      <c r="B940" s="53"/>
      <c r="C940" s="52"/>
      <c r="D940" s="52"/>
      <c r="E940" s="63"/>
      <c r="F940" s="63"/>
      <c r="G940" s="52"/>
      <c r="H940" s="52"/>
      <c r="I940" s="52"/>
      <c r="J940" s="52"/>
      <c r="K940" s="52"/>
      <c r="L940" s="59">
        <v>0.72</v>
      </c>
      <c r="M940" s="59">
        <v>1.08</v>
      </c>
      <c r="N940" s="52"/>
      <c r="O940" s="52"/>
      <c r="P940" s="63"/>
      <c r="Q940" s="63"/>
      <c r="R940" s="63"/>
      <c r="S940" s="61">
        <v>0.17</v>
      </c>
      <c r="T940" s="48">
        <f>ROUND((L940*I936+1.3*L940*K936+S940*H936),4)</f>
        <v>252.66</v>
      </c>
      <c r="U940" s="48">
        <f>ROUND((M940*0.9*I936+1.3*M940*0.9*K936+S940*H936),4)</f>
        <v>337.52100000000002</v>
      </c>
      <c r="V940" s="48">
        <f>ROUND((M940*I936+1.3*M940*K936+S940*H936),4)</f>
        <v>373.89</v>
      </c>
      <c r="W940" s="48">
        <f>ROUND((L940*J936+1.3*L940*N936+S940*G936),4)</f>
        <v>20.46</v>
      </c>
      <c r="X940" s="48">
        <f>ROUND((M940*0.9*J936+1.3*M940*0.9*N936+S940*G936),4)</f>
        <v>27.263999999999999</v>
      </c>
      <c r="Y940" s="48">
        <f>ROUND((M940*J936+1.3*M940*N936+S940*G936),4)</f>
        <v>30.18</v>
      </c>
      <c r="Z940" s="49">
        <f>ROUND((P936*T940*F936*O936/1000000),4)</f>
        <v>3.7900000000000003E-2</v>
      </c>
      <c r="AA940" s="49">
        <f>ROUND((Q936*U940*F936*O936/1000000),4)</f>
        <v>1.01E-2</v>
      </c>
      <c r="AB940" s="49">
        <f>ROUND((R936*V940*F936*O936/1000000),4)</f>
        <v>1.12E-2</v>
      </c>
      <c r="AC940" s="50" t="s">
        <v>250</v>
      </c>
      <c r="AD940" s="51" t="s">
        <v>208</v>
      </c>
      <c r="AE940" s="44">
        <f>ROUND((((X940*E936)/1800)),4)</f>
        <v>1.5100000000000001E-2</v>
      </c>
      <c r="AF940" s="44">
        <f>ROUND(((Z940+AA940+AB940)),4)</f>
        <v>5.9200000000000003E-2</v>
      </c>
    </row>
    <row r="941" spans="1:32" ht="12.95" customHeight="1" x14ac:dyDescent="0.25">
      <c r="A941" s="52"/>
      <c r="B941" s="62"/>
      <c r="C941" s="56"/>
      <c r="D941" s="56"/>
      <c r="E941" s="66"/>
      <c r="F941" s="66"/>
      <c r="G941" s="56"/>
      <c r="H941" s="56"/>
      <c r="I941" s="56"/>
      <c r="J941" s="56"/>
      <c r="K941" s="56"/>
      <c r="L941" s="59">
        <v>3.37</v>
      </c>
      <c r="M941" s="59">
        <v>4.1100000000000003</v>
      </c>
      <c r="N941" s="56"/>
      <c r="O941" s="56"/>
      <c r="P941" s="66"/>
      <c r="Q941" s="66"/>
      <c r="R941" s="66"/>
      <c r="S941" s="61">
        <v>6.31</v>
      </c>
      <c r="T941" s="48">
        <f>ROUND((L941*I936+1.3*L941*K936+S941*H936),4)</f>
        <v>1513.4475</v>
      </c>
      <c r="U941" s="48">
        <f>ROUND((M941*0.9*I936+1.3*M941*0.9*K936+S941*H936),4)</f>
        <v>1624.2383</v>
      </c>
      <c r="V941" s="48">
        <f>ROUND((M941*I936+1.3*M941*K936+S941*H936),4)</f>
        <v>1762.6424999999999</v>
      </c>
      <c r="W941" s="48">
        <f>ROUND((L941*J936+1.3*L941*N936+S941*G936),4)</f>
        <v>128.85</v>
      </c>
      <c r="X941" s="48">
        <f>ROUND((M941*0.9*J936+1.3*M941*0.9*N936+S941*G936),4)</f>
        <v>137.733</v>
      </c>
      <c r="Y941" s="48">
        <f>ROUND((M941*J936+1.3*M941*N936+S941*G936),4)</f>
        <v>148.83000000000001</v>
      </c>
      <c r="Z941" s="49">
        <f>ROUND((P936*T941*F936*O936/1000000),4)</f>
        <v>0.22700000000000001</v>
      </c>
      <c r="AA941" s="49">
        <f>ROUND((Q936*U941*F936*O936/1000000),4)</f>
        <v>4.87E-2</v>
      </c>
      <c r="AB941" s="49">
        <f>ROUND((R936*V941*F936*O936/1000000),4)</f>
        <v>5.2900000000000003E-2</v>
      </c>
      <c r="AC941" s="50" t="s">
        <v>170</v>
      </c>
      <c r="AD941" s="51" t="s">
        <v>162</v>
      </c>
      <c r="AE941" s="44">
        <f>ROUND((((X941*E936)/1800)),4)</f>
        <v>7.6499999999999999E-2</v>
      </c>
      <c r="AF941" s="44">
        <f>ROUND(((Z941+AA941+AB941)),4)</f>
        <v>0.3286</v>
      </c>
    </row>
    <row r="942" spans="1:32" ht="12.95" customHeight="1" x14ac:dyDescent="0.25">
      <c r="A942" s="52"/>
      <c r="B942" s="67" t="s">
        <v>214</v>
      </c>
      <c r="C942" s="46">
        <v>6</v>
      </c>
      <c r="D942" s="45" t="s">
        <v>210</v>
      </c>
      <c r="E942" s="45">
        <v>1</v>
      </c>
      <c r="F942" s="45">
        <v>1</v>
      </c>
      <c r="G942" s="45">
        <v>6</v>
      </c>
      <c r="H942" s="45">
        <v>60</v>
      </c>
      <c r="I942" s="45">
        <f>(8-1-0.75*2)*60*F942-K942-8*0.12*60</f>
        <v>57.900000000000006</v>
      </c>
      <c r="J942" s="45">
        <v>14</v>
      </c>
      <c r="K942" s="45">
        <f>(8-1-0.75*2)*0.65*60*F942</f>
        <v>214.5</v>
      </c>
      <c r="L942" s="48">
        <v>6.47</v>
      </c>
      <c r="M942" s="48">
        <v>6.47</v>
      </c>
      <c r="N942" s="45">
        <v>10</v>
      </c>
      <c r="O942" s="45">
        <f>E942/F942</f>
        <v>1</v>
      </c>
      <c r="P942" s="45">
        <v>150</v>
      </c>
      <c r="Q942" s="45">
        <v>0</v>
      </c>
      <c r="R942" s="47">
        <v>0</v>
      </c>
      <c r="S942" s="47">
        <v>1.27</v>
      </c>
      <c r="T942" s="48">
        <f>ROUND((L942*I942+1.3*L942*K942+S942*H942),4)</f>
        <v>2254.9724999999999</v>
      </c>
      <c r="U942" s="48">
        <f>ROUND((M942*I942+1.3*M942*K942+S942*H942),4)</f>
        <v>2254.9724999999999</v>
      </c>
      <c r="V942" s="48">
        <f>ROUND((M942*I942+1.3*M942*K942+S942*H942),4)</f>
        <v>2254.9724999999999</v>
      </c>
      <c r="W942" s="48">
        <f>ROUND((L942*J942+1.3*L942*N942+S942*G942),4)</f>
        <v>182.31</v>
      </c>
      <c r="X942" s="48">
        <f>ROUND((M942*J942+1.3*M942*N942+S942*G942),4)</f>
        <v>182.31</v>
      </c>
      <c r="Y942" s="48">
        <f>ROUND((M942*J942+1.3*M942*N942+S942*G942),4)</f>
        <v>182.31</v>
      </c>
      <c r="Z942" s="49">
        <f>ROUND((P942*T942*F942*O942/1000000),4)</f>
        <v>0.3382</v>
      </c>
      <c r="AA942" s="49">
        <f>ROUND((Q942*U942*F942*O942/1000000),4)</f>
        <v>0</v>
      </c>
      <c r="AB942" s="49">
        <f>ROUND((R942*V942*F942*O942/1000000),4)</f>
        <v>0</v>
      </c>
      <c r="AC942" s="50" t="s">
        <v>200</v>
      </c>
      <c r="AD942" s="51" t="s">
        <v>153</v>
      </c>
      <c r="AE942" s="44">
        <f>ROUND((((X942*E942)/1800)*0.8),4)</f>
        <v>8.1000000000000003E-2</v>
      </c>
      <c r="AF942" s="44">
        <f>ROUND(((Z942+AA942+AB942)*0.8),4)</f>
        <v>0.27060000000000001</v>
      </c>
    </row>
    <row r="943" spans="1:32" ht="12.95" customHeight="1" x14ac:dyDescent="0.25">
      <c r="A943" s="52"/>
      <c r="B943" s="53" t="s">
        <v>215</v>
      </c>
      <c r="C943" s="52"/>
      <c r="D943" s="52"/>
      <c r="E943" s="52"/>
      <c r="F943" s="52"/>
      <c r="G943" s="52"/>
      <c r="H943" s="52"/>
      <c r="I943" s="52"/>
      <c r="J943" s="52"/>
      <c r="K943" s="52"/>
      <c r="L943" s="56"/>
      <c r="M943" s="56"/>
      <c r="N943" s="52"/>
      <c r="O943" s="52"/>
      <c r="P943" s="63"/>
      <c r="Q943" s="63"/>
      <c r="R943" s="52"/>
      <c r="S943" s="57"/>
      <c r="T943" s="54"/>
      <c r="U943" s="54"/>
      <c r="V943" s="54"/>
      <c r="W943" s="54"/>
      <c r="X943" s="54"/>
      <c r="Y943" s="54"/>
      <c r="Z943" s="54"/>
      <c r="AA943" s="54"/>
      <c r="AB943" s="54"/>
      <c r="AC943" s="50" t="s">
        <v>201</v>
      </c>
      <c r="AD943" s="51" t="s">
        <v>202</v>
      </c>
      <c r="AE943" s="44">
        <f>ROUND((((X942*E942)/1800)*0.13),4)</f>
        <v>1.32E-2</v>
      </c>
      <c r="AF943" s="44">
        <f>ROUND(((Z942+AA942+AB942)*0.13),4)</f>
        <v>4.3999999999999997E-2</v>
      </c>
    </row>
    <row r="944" spans="1:32" ht="12.95" customHeight="1" x14ac:dyDescent="0.25">
      <c r="A944" s="52"/>
      <c r="B944" s="88"/>
      <c r="C944" s="55"/>
      <c r="D944" s="55"/>
      <c r="E944" s="52"/>
      <c r="F944" s="52"/>
      <c r="G944" s="52"/>
      <c r="H944" s="52"/>
      <c r="I944" s="52"/>
      <c r="J944" s="52"/>
      <c r="K944" s="52"/>
      <c r="L944" s="59">
        <v>0.51</v>
      </c>
      <c r="M944" s="59">
        <v>0.63</v>
      </c>
      <c r="N944" s="52"/>
      <c r="O944" s="52"/>
      <c r="P944" s="63"/>
      <c r="Q944" s="63"/>
      <c r="R944" s="52"/>
      <c r="S944" s="60">
        <v>0.25</v>
      </c>
      <c r="T944" s="48">
        <f>ROUND((L944*I942+1.3*L944*K942+S944*H942),4)</f>
        <v>186.74250000000001</v>
      </c>
      <c r="U944" s="48">
        <f>ROUND((M944*0.9*I942+1.3*M944*0.9*K942+S944*H942),4)</f>
        <v>205.93729999999999</v>
      </c>
      <c r="V944" s="48">
        <f>ROUND((M944*I942+1.3*M944*K942+S944*H942),4)</f>
        <v>227.1525</v>
      </c>
      <c r="W944" s="48">
        <f>ROUND((L944*J942+1.3*L944*N942+S944*G942),4)</f>
        <v>15.27</v>
      </c>
      <c r="X944" s="48">
        <f>ROUND((M944*0.9*J942+1.3*M944*0.9*N942+S944*G942),4)</f>
        <v>16.809000000000001</v>
      </c>
      <c r="Y944" s="48">
        <f>ROUND((M944*J942+1.3*M944*N942+S944*G942),4)</f>
        <v>18.510000000000002</v>
      </c>
      <c r="Z944" s="49">
        <f>ROUND((P942*T944*F942*O942/1000000),4)</f>
        <v>2.8000000000000001E-2</v>
      </c>
      <c r="AA944" s="49">
        <f>ROUND((Q942*U944*F942*O942/1000000),4)</f>
        <v>0</v>
      </c>
      <c r="AB944" s="49">
        <f>ROUND((R942*V944*F942*O942/1000000),4)</f>
        <v>0</v>
      </c>
      <c r="AC944" s="50" t="s">
        <v>203</v>
      </c>
      <c r="AD944" s="51" t="s">
        <v>204</v>
      </c>
      <c r="AE944" s="44">
        <f>ROUND((((X944*E942)/1800)),4)</f>
        <v>9.2999999999999992E-3</v>
      </c>
      <c r="AF944" s="44">
        <f>ROUND(((Z944+AA944+AB944)),5)</f>
        <v>2.8000000000000001E-2</v>
      </c>
    </row>
    <row r="945" spans="1:32" ht="12.95" customHeight="1" x14ac:dyDescent="0.25">
      <c r="A945" s="52"/>
      <c r="B945" s="88"/>
      <c r="C945" s="52"/>
      <c r="D945" s="52"/>
      <c r="E945" s="52"/>
      <c r="F945" s="52"/>
      <c r="G945" s="52"/>
      <c r="H945" s="52"/>
      <c r="I945" s="52"/>
      <c r="J945" s="52"/>
      <c r="K945" s="52"/>
      <c r="L945" s="59">
        <v>1.1399999999999999</v>
      </c>
      <c r="M945" s="59">
        <v>1.37</v>
      </c>
      <c r="N945" s="52"/>
      <c r="O945" s="52"/>
      <c r="P945" s="63"/>
      <c r="Q945" s="63"/>
      <c r="R945" s="52"/>
      <c r="S945" s="61">
        <v>0.79</v>
      </c>
      <c r="T945" s="48">
        <f>ROUND((L945*I942+1.3*L945*K942+S945*H942),4)</f>
        <v>431.29500000000002</v>
      </c>
      <c r="U945" s="48">
        <f>ROUND((M945*0.9*I942+1.3*M945*0.9*K942+S945*H942),4)</f>
        <v>462.61279999999999</v>
      </c>
      <c r="V945" s="48">
        <f>ROUND((M945*I942+1.3*M945*K942+S945*H942),4)</f>
        <v>508.7475</v>
      </c>
      <c r="W945" s="48">
        <f>ROUND((L945*J942+1.3*L945*N942+S945*G942),4)</f>
        <v>35.520000000000003</v>
      </c>
      <c r="X945" s="48">
        <f>ROUND((M945*0.9*J942+1.3*M945*0.9*N942+S945*G942),4)</f>
        <v>38.030999999999999</v>
      </c>
      <c r="Y945" s="48">
        <f>ROUND((M945*J942+1.3*N942+S945*G942),4)</f>
        <v>36.92</v>
      </c>
      <c r="Z945" s="49">
        <f>ROUND((P942*T945*F942*O942/1000000),4)</f>
        <v>6.4699999999999994E-2</v>
      </c>
      <c r="AA945" s="49">
        <f>ROUND((Q942*U945*F942*O942/1000000),4)</f>
        <v>0</v>
      </c>
      <c r="AB945" s="49">
        <f>ROUND((R942*V945*F942*O942/1000000),4)</f>
        <v>0</v>
      </c>
      <c r="AC945" s="50" t="s">
        <v>205</v>
      </c>
      <c r="AD945" s="51" t="s">
        <v>206</v>
      </c>
      <c r="AE945" s="44">
        <f>ROUND((((X945*E942)/1800)),4)</f>
        <v>2.1100000000000001E-2</v>
      </c>
      <c r="AF945" s="44">
        <f>ROUND(((Z945+AA945+AB945)),4)</f>
        <v>6.4699999999999994E-2</v>
      </c>
    </row>
    <row r="946" spans="1:32" ht="12.95" customHeight="1" x14ac:dyDescent="0.25">
      <c r="A946" s="52"/>
      <c r="B946" s="53"/>
      <c r="C946" s="52"/>
      <c r="D946" s="52"/>
      <c r="E946" s="52"/>
      <c r="F946" s="52"/>
      <c r="G946" s="52"/>
      <c r="H946" s="52"/>
      <c r="I946" s="52"/>
      <c r="J946" s="52"/>
      <c r="K946" s="52"/>
      <c r="L946" s="59">
        <v>0.72</v>
      </c>
      <c r="M946" s="59">
        <v>1.08</v>
      </c>
      <c r="N946" s="52"/>
      <c r="O946" s="52"/>
      <c r="P946" s="63"/>
      <c r="Q946" s="63"/>
      <c r="R946" s="52"/>
      <c r="S946" s="61">
        <v>0.17</v>
      </c>
      <c r="T946" s="48">
        <f>ROUND((L946*I942+1.3*L946*K942+S946*H942),4)</f>
        <v>252.66</v>
      </c>
      <c r="U946" s="48">
        <f>ROUND((M946*0.9*I942+1.3*M946*0.9*K942+S946*H942),4)</f>
        <v>337.52100000000002</v>
      </c>
      <c r="V946" s="48">
        <f>ROUND((M946*I942+1.3*M946*K942+S946*H942),4)</f>
        <v>373.89</v>
      </c>
      <c r="W946" s="48">
        <f>ROUND((L946*J942+1.3*L946*N942+S946*G942),4)</f>
        <v>20.46</v>
      </c>
      <c r="X946" s="48">
        <f>ROUND((M946*0.9*J942+1.3*M946*0.9*N942+S946*G942),4)</f>
        <v>27.263999999999999</v>
      </c>
      <c r="Y946" s="48">
        <f>ROUND((M946*J942+1.3*M946*N942+S946*G942),4)</f>
        <v>30.18</v>
      </c>
      <c r="Z946" s="49">
        <f>ROUND((P942*T946*F942*O942/1000000),4)</f>
        <v>3.7900000000000003E-2</v>
      </c>
      <c r="AA946" s="49">
        <f>ROUND((Q942*U946*F942*O942/1000000),4)</f>
        <v>0</v>
      </c>
      <c r="AB946" s="49">
        <f>ROUND((R942*V946*F942*O942/1000000),4)</f>
        <v>0</v>
      </c>
      <c r="AC946" s="50" t="s">
        <v>250</v>
      </c>
      <c r="AD946" s="51" t="s">
        <v>208</v>
      </c>
      <c r="AE946" s="44">
        <f>ROUND((((X946*E942)/1800)),4)</f>
        <v>1.5100000000000001E-2</v>
      </c>
      <c r="AF946" s="44">
        <f>ROUND(((Z946+AA946+AB946)),4)</f>
        <v>3.7900000000000003E-2</v>
      </c>
    </row>
    <row r="947" spans="1:32" ht="12.95" customHeight="1" x14ac:dyDescent="0.25">
      <c r="A947" s="52"/>
      <c r="B947" s="62"/>
      <c r="C947" s="56"/>
      <c r="D947" s="56"/>
      <c r="E947" s="56"/>
      <c r="F947" s="56"/>
      <c r="G947" s="56"/>
      <c r="H947" s="56"/>
      <c r="I947" s="56"/>
      <c r="J947" s="56"/>
      <c r="K947" s="56"/>
      <c r="L947" s="59">
        <v>3.37</v>
      </c>
      <c r="M947" s="59">
        <v>4.1100000000000003</v>
      </c>
      <c r="N947" s="56"/>
      <c r="O947" s="56"/>
      <c r="P947" s="66"/>
      <c r="Q947" s="66"/>
      <c r="R947" s="56"/>
      <c r="S947" s="61">
        <v>6.31</v>
      </c>
      <c r="T947" s="48">
        <f>ROUND((L947*I942+1.3*L947*K942+S947*H942),4)</f>
        <v>1513.4475</v>
      </c>
      <c r="U947" s="48">
        <f>ROUND((M947*0.9*I942+1.3*M947*0.9*K942+S947*H942),4)</f>
        <v>1624.2383</v>
      </c>
      <c r="V947" s="48">
        <f>ROUND((M947*I942+1.3*M947*K942+S947*H942),4)</f>
        <v>1762.6424999999999</v>
      </c>
      <c r="W947" s="48">
        <f>ROUND((L947*J942+1.3*L947*N942+S947*G942),4)</f>
        <v>128.85</v>
      </c>
      <c r="X947" s="48">
        <f>ROUND((M947*0.9*J942+1.3*M947*0.9*N942+S947*G942),4)</f>
        <v>137.733</v>
      </c>
      <c r="Y947" s="48">
        <f>ROUND((M947*J942+1.3*M947*N942+S947*G942),4)</f>
        <v>148.83000000000001</v>
      </c>
      <c r="Z947" s="49">
        <f>ROUND((P942*T947*F942*O942/1000000),4)</f>
        <v>0.22700000000000001</v>
      </c>
      <c r="AA947" s="49">
        <f>ROUND((Q942*U947*F942*O942/1000000),4)</f>
        <v>0</v>
      </c>
      <c r="AB947" s="49">
        <f>ROUND((R942*V947*F942*O942/1000000),4)</f>
        <v>0</v>
      </c>
      <c r="AC947" s="50" t="s">
        <v>170</v>
      </c>
      <c r="AD947" s="51" t="s">
        <v>162</v>
      </c>
      <c r="AE947" s="44">
        <f>ROUND((((X947*E942)/1800)),4)</f>
        <v>7.6499999999999999E-2</v>
      </c>
      <c r="AF947" s="44">
        <f>ROUND(((Z947+AA947+AB947)),4)</f>
        <v>0.22700000000000001</v>
      </c>
    </row>
    <row r="948" spans="1:32" ht="12.95" customHeight="1" x14ac:dyDescent="0.25">
      <c r="A948" s="52"/>
      <c r="B948" s="67" t="s">
        <v>214</v>
      </c>
      <c r="C948" s="46">
        <v>7</v>
      </c>
      <c r="D948" s="45" t="s">
        <v>217</v>
      </c>
      <c r="E948" s="45">
        <v>1</v>
      </c>
      <c r="F948" s="45">
        <v>1</v>
      </c>
      <c r="G948" s="45">
        <v>6</v>
      </c>
      <c r="H948" s="45">
        <v>60</v>
      </c>
      <c r="I948" s="45">
        <f>(8-1-0.75*2)*60*F948-K948-8*0.12*60</f>
        <v>57.900000000000006</v>
      </c>
      <c r="J948" s="45">
        <v>14</v>
      </c>
      <c r="K948" s="45">
        <f>(8-1-0.75*2)*0.65*60*F948</f>
        <v>214.5</v>
      </c>
      <c r="L948" s="48">
        <v>10.16</v>
      </c>
      <c r="M948" s="48">
        <v>10.16</v>
      </c>
      <c r="N948" s="45">
        <v>10</v>
      </c>
      <c r="O948" s="45">
        <f>E948/F948</f>
        <v>1</v>
      </c>
      <c r="P948" s="45">
        <v>150</v>
      </c>
      <c r="Q948" s="45">
        <v>0</v>
      </c>
      <c r="R948" s="47">
        <v>0</v>
      </c>
      <c r="S948" s="47">
        <v>1.99</v>
      </c>
      <c r="T948" s="48">
        <f>ROUND((L948*I948+1.3*L948*K948+S948*H948),4)</f>
        <v>3540.78</v>
      </c>
      <c r="U948" s="48">
        <f>ROUND((M948*I948+1.3*M948*K948+S948*H948),4)</f>
        <v>3540.78</v>
      </c>
      <c r="V948" s="48">
        <f>ROUND((M948*I948+1.3*M948*K948+S948*H948),4)</f>
        <v>3540.78</v>
      </c>
      <c r="W948" s="48">
        <f>ROUND((L948*J948+1.3*L948*N948+S948*G948),4)</f>
        <v>286.26</v>
      </c>
      <c r="X948" s="48">
        <f>ROUND((M948*J948+1.3*M948*N948+S948*G948),4)</f>
        <v>286.26</v>
      </c>
      <c r="Y948" s="48">
        <f>ROUND((M948*J948+1.3*M948*N948+S948*G948),4)</f>
        <v>286.26</v>
      </c>
      <c r="Z948" s="49">
        <f>ROUND((P948*T948*F948*O948/1000000),4)</f>
        <v>0.53110000000000002</v>
      </c>
      <c r="AA948" s="49">
        <f>ROUND((Q948*U948*F948*O948/1000000),4)</f>
        <v>0</v>
      </c>
      <c r="AB948" s="49">
        <f>ROUND((R948*V948*F948*O948/1000000),4)</f>
        <v>0</v>
      </c>
      <c r="AC948" s="50" t="s">
        <v>200</v>
      </c>
      <c r="AD948" s="51" t="s">
        <v>153</v>
      </c>
      <c r="AE948" s="44">
        <f>ROUND((((X948*E948)/1800)*0.8),4)</f>
        <v>0.12720000000000001</v>
      </c>
      <c r="AF948" s="44">
        <f>ROUND(((Z948+AA948+AB948)*0.8),4)</f>
        <v>0.4249</v>
      </c>
    </row>
    <row r="949" spans="1:32" ht="12.95" customHeight="1" x14ac:dyDescent="0.25">
      <c r="A949" s="52"/>
      <c r="B949" s="53" t="s">
        <v>216</v>
      </c>
      <c r="C949" s="52"/>
      <c r="D949" s="52"/>
      <c r="E949" s="52"/>
      <c r="F949" s="63"/>
      <c r="G949" s="52"/>
      <c r="H949" s="52"/>
      <c r="I949" s="52"/>
      <c r="J949" s="52"/>
      <c r="K949" s="52"/>
      <c r="L949" s="56"/>
      <c r="M949" s="56"/>
      <c r="N949" s="52"/>
      <c r="O949" s="52"/>
      <c r="P949" s="52"/>
      <c r="Q949" s="52"/>
      <c r="R949" s="52"/>
      <c r="S949" s="57"/>
      <c r="T949" s="54"/>
      <c r="U949" s="54"/>
      <c r="V949" s="54"/>
      <c r="W949" s="54"/>
      <c r="X949" s="54"/>
      <c r="Y949" s="54"/>
      <c r="Z949" s="54"/>
      <c r="AA949" s="54"/>
      <c r="AB949" s="54"/>
      <c r="AC949" s="50" t="s">
        <v>201</v>
      </c>
      <c r="AD949" s="51" t="s">
        <v>202</v>
      </c>
      <c r="AE949" s="44">
        <f>ROUND((((X948*E948)/1800)*0.13),4)</f>
        <v>2.07E-2</v>
      </c>
      <c r="AF949" s="44">
        <f>ROUND(((Z948+AA948+AB948)*0.13),4)</f>
        <v>6.9000000000000006E-2</v>
      </c>
    </row>
    <row r="950" spans="1:32" ht="12.95" customHeight="1" x14ac:dyDescent="0.25">
      <c r="A950" s="52"/>
      <c r="B950" s="88"/>
      <c r="C950" s="55"/>
      <c r="D950" s="55"/>
      <c r="E950" s="52"/>
      <c r="F950" s="63"/>
      <c r="G950" s="52"/>
      <c r="H950" s="52"/>
      <c r="I950" s="52"/>
      <c r="J950" s="52"/>
      <c r="K950" s="52"/>
      <c r="L950" s="59">
        <v>0.8</v>
      </c>
      <c r="M950" s="59">
        <v>0.98</v>
      </c>
      <c r="N950" s="52"/>
      <c r="O950" s="52"/>
      <c r="P950" s="52"/>
      <c r="Q950" s="52"/>
      <c r="R950" s="52"/>
      <c r="S950" s="60">
        <v>0.39</v>
      </c>
      <c r="T950" s="48">
        <f>ROUND((L950*I948+1.3*L950*K948+S950*H948),4)</f>
        <v>292.8</v>
      </c>
      <c r="U950" s="48">
        <f>ROUND((M950*0.9*I948+1.3*M950*0.9*K948+S950*H948),4)</f>
        <v>320.4135</v>
      </c>
      <c r="V950" s="48">
        <f>ROUND((M950*I948+1.3*M950*K948+S950*H948),4)</f>
        <v>353.41500000000002</v>
      </c>
      <c r="W950" s="48">
        <f>ROUND((L950*J948+1.3*L950*N948+S950*G948),4)</f>
        <v>23.94</v>
      </c>
      <c r="X950" s="48">
        <f>ROUND((M950*0.9*J948+1.3*M950*0.9*N948+S950*G948),4)</f>
        <v>26.154</v>
      </c>
      <c r="Y950" s="48">
        <f>ROUND((M950*J948+1.3*M950*N948+S950*G948),4)</f>
        <v>28.8</v>
      </c>
      <c r="Z950" s="49">
        <f>ROUND((P948*T950*F948*O948/1000000),4)</f>
        <v>4.3900000000000002E-2</v>
      </c>
      <c r="AA950" s="49">
        <f>ROUND((Q948*U950*F948*O948/1000000),4)</f>
        <v>0</v>
      </c>
      <c r="AB950" s="49">
        <f>ROUND((R948*V950*F948*O948/1000000),4)</f>
        <v>0</v>
      </c>
      <c r="AC950" s="50" t="s">
        <v>203</v>
      </c>
      <c r="AD950" s="51" t="s">
        <v>204</v>
      </c>
      <c r="AE950" s="44">
        <f>ROUND((((X950*E948)/1800)),4)</f>
        <v>1.4500000000000001E-2</v>
      </c>
      <c r="AF950" s="44">
        <f>ROUND(((Z950+AA950+AB950)),5)</f>
        <v>4.3900000000000002E-2</v>
      </c>
    </row>
    <row r="951" spans="1:32" ht="12.95" customHeight="1" x14ac:dyDescent="0.25">
      <c r="A951" s="52"/>
      <c r="B951" s="88"/>
      <c r="C951" s="52"/>
      <c r="D951" s="52"/>
      <c r="E951" s="52"/>
      <c r="F951" s="63"/>
      <c r="G951" s="52"/>
      <c r="H951" s="52"/>
      <c r="I951" s="52"/>
      <c r="J951" s="52"/>
      <c r="K951" s="52"/>
      <c r="L951" s="59">
        <v>1.79</v>
      </c>
      <c r="M951" s="59">
        <v>2.15</v>
      </c>
      <c r="N951" s="52"/>
      <c r="O951" s="52"/>
      <c r="P951" s="52"/>
      <c r="Q951" s="52"/>
      <c r="R951" s="52"/>
      <c r="S951" s="61">
        <v>1.24</v>
      </c>
      <c r="T951" s="48">
        <f>ROUND((L951*I948+1.3*L951*K948+S951*H948),4)</f>
        <v>677.1825</v>
      </c>
      <c r="U951" s="48">
        <f>ROUND((M951*0.9*I948+1.3*M951*0.9*K948+S951*H948),4)</f>
        <v>726.01130000000001</v>
      </c>
      <c r="V951" s="48">
        <f>ROUND((M951*I948+1.3*M951*K948+S951*H948),4)</f>
        <v>798.41250000000002</v>
      </c>
      <c r="W951" s="48">
        <f>ROUND((L951*J948+1.3*L951*N948+S951*G948),4)</f>
        <v>55.77</v>
      </c>
      <c r="X951" s="48">
        <f>ROUND((M951*0.9*J948+1.3*M951*0.9*N948+S951*G948),4)</f>
        <v>59.685000000000002</v>
      </c>
      <c r="Y951" s="48">
        <f>ROUND((M951*J948+1.3*N948+S951*G948),4)</f>
        <v>50.54</v>
      </c>
      <c r="Z951" s="49">
        <f>ROUND((P948*T951*F948*O948/1000000),4)</f>
        <v>0.1016</v>
      </c>
      <c r="AA951" s="49">
        <f>ROUND((Q948*U951*F948*O948/1000000),4)</f>
        <v>0</v>
      </c>
      <c r="AB951" s="49">
        <f>ROUND((R948*V951*F948*O948/1000000),4)</f>
        <v>0</v>
      </c>
      <c r="AC951" s="50" t="s">
        <v>205</v>
      </c>
      <c r="AD951" s="51" t="s">
        <v>206</v>
      </c>
      <c r="AE951" s="44">
        <f>ROUND((((X951*E948)/1800)),4)</f>
        <v>3.32E-2</v>
      </c>
      <c r="AF951" s="44">
        <f>ROUND(((Z951+AA951+AB951)),4)</f>
        <v>0.1016</v>
      </c>
    </row>
    <row r="952" spans="1:32" ht="12.95" customHeight="1" x14ac:dyDescent="0.25">
      <c r="A952" s="52"/>
      <c r="B952" s="53"/>
      <c r="C952" s="52"/>
      <c r="D952" s="52"/>
      <c r="E952" s="52"/>
      <c r="F952" s="63"/>
      <c r="G952" s="52"/>
      <c r="H952" s="52"/>
      <c r="I952" s="52"/>
      <c r="J952" s="52"/>
      <c r="K952" s="52"/>
      <c r="L952" s="59">
        <v>1.1299999999999999</v>
      </c>
      <c r="M952" s="59">
        <v>1.7</v>
      </c>
      <c r="N952" s="52"/>
      <c r="O952" s="52"/>
      <c r="P952" s="52"/>
      <c r="Q952" s="52"/>
      <c r="R952" s="52"/>
      <c r="S952" s="61">
        <v>0.26</v>
      </c>
      <c r="T952" s="48">
        <f>ROUND((L952*I948+1.3*L952*K948+S952*H948),4)</f>
        <v>396.1275</v>
      </c>
      <c r="U952" s="48">
        <f>ROUND((M952*0.9*I948+1.3*M952*0.9*K948+S952*H948),4)</f>
        <v>530.82749999999999</v>
      </c>
      <c r="V952" s="48">
        <f>ROUND((M952*I948+1.3*M952*K948+S952*H948),4)</f>
        <v>588.07500000000005</v>
      </c>
      <c r="W952" s="48">
        <f>ROUND((L952*J948+1.3*L952*N948+S952*G948),4)</f>
        <v>32.07</v>
      </c>
      <c r="X952" s="48">
        <f>ROUND((M952*0.9*J948+1.3*M952*0.9*N948+S952*G948),4)</f>
        <v>42.87</v>
      </c>
      <c r="Y952" s="48">
        <f>ROUND((M952*J948+1.3*M952*N948+S952*G948),4)</f>
        <v>47.46</v>
      </c>
      <c r="Z952" s="49">
        <f>ROUND((P948*T952*F948*O948/1000000),4)</f>
        <v>5.9400000000000001E-2</v>
      </c>
      <c r="AA952" s="49">
        <f>ROUND((Q948*U952*F948*O948/1000000),4)</f>
        <v>0</v>
      </c>
      <c r="AB952" s="49">
        <f>ROUND((R948*V952*F948*O948/1000000),4)</f>
        <v>0</v>
      </c>
      <c r="AC952" s="50" t="s">
        <v>250</v>
      </c>
      <c r="AD952" s="51" t="s">
        <v>208</v>
      </c>
      <c r="AE952" s="44">
        <f>ROUND((((X952*E948)/1800)),4)</f>
        <v>2.3800000000000002E-2</v>
      </c>
      <c r="AF952" s="44">
        <f>ROUND(((Z952+AA952+AB952)),4)</f>
        <v>5.9400000000000001E-2</v>
      </c>
    </row>
    <row r="953" spans="1:32" ht="12.95" customHeight="1" x14ac:dyDescent="0.25">
      <c r="A953" s="52"/>
      <c r="B953" s="62"/>
      <c r="C953" s="56"/>
      <c r="D953" s="56"/>
      <c r="E953" s="56"/>
      <c r="F953" s="66"/>
      <c r="G953" s="56"/>
      <c r="H953" s="56"/>
      <c r="I953" s="56"/>
      <c r="J953" s="56"/>
      <c r="K953" s="56"/>
      <c r="L953" s="59">
        <v>5.3</v>
      </c>
      <c r="M953" s="59">
        <v>6.47</v>
      </c>
      <c r="N953" s="56"/>
      <c r="O953" s="56"/>
      <c r="P953" s="56"/>
      <c r="Q953" s="56"/>
      <c r="R953" s="56"/>
      <c r="S953" s="61">
        <v>9.92</v>
      </c>
      <c r="T953" s="48">
        <f>ROUND((L953*I948+1.3*L953*K948+S953*H948),4)</f>
        <v>2379.9749999999999</v>
      </c>
      <c r="U953" s="48">
        <f>ROUND((M953*0.9*I948+1.3*M953*0.9*K948+S953*H948),4)</f>
        <v>2556.0953</v>
      </c>
      <c r="V953" s="48">
        <f>ROUND((M953*I948+1.3*M953*K948+S953*H948),4)</f>
        <v>2773.9724999999999</v>
      </c>
      <c r="W953" s="48">
        <f>ROUND((L953*J948+1.3*L953*N948+S953*G948),4)</f>
        <v>202.62</v>
      </c>
      <c r="X953" s="48">
        <f>ROUND((M953*0.9*J948+1.3*M953*0.9*N948+S953*G948),4)</f>
        <v>216.74100000000001</v>
      </c>
      <c r="Y953" s="48">
        <f>ROUND((M953*J948+1.3*M953*N948+S953*G948),4)</f>
        <v>234.21</v>
      </c>
      <c r="Z953" s="49">
        <f>ROUND((P948*T953*F948*O948/1000000),4)</f>
        <v>0.35699999999999998</v>
      </c>
      <c r="AA953" s="49">
        <f>ROUND((Q948*U953*F948*O948/1000000),4)</f>
        <v>0</v>
      </c>
      <c r="AB953" s="49">
        <f>ROUND((R948*V953*F948*O948/1000000),4)</f>
        <v>0</v>
      </c>
      <c r="AC953" s="50" t="s">
        <v>170</v>
      </c>
      <c r="AD953" s="51" t="s">
        <v>162</v>
      </c>
      <c r="AE953" s="44">
        <f>ROUND((((X953*E948)/1800)),4)</f>
        <v>0.12039999999999999</v>
      </c>
      <c r="AF953" s="44">
        <f>ROUND(((Z953+AA953+AB953)),4)</f>
        <v>0.35699999999999998</v>
      </c>
    </row>
    <row r="954" spans="1:32" ht="12.95" customHeight="1" x14ac:dyDescent="0.25">
      <c r="A954" s="52"/>
      <c r="B954" s="67" t="s">
        <v>220</v>
      </c>
      <c r="C954" s="46">
        <v>7</v>
      </c>
      <c r="D954" s="45" t="s">
        <v>217</v>
      </c>
      <c r="E954" s="45">
        <v>1</v>
      </c>
      <c r="F954" s="45">
        <v>3</v>
      </c>
      <c r="G954" s="45">
        <v>6</v>
      </c>
      <c r="H954" s="45">
        <v>60</v>
      </c>
      <c r="I954" s="45">
        <f>(8-1-0.75*2)*60*F954-K954-8*0.12*60</f>
        <v>288.89999999999998</v>
      </c>
      <c r="J954" s="45">
        <v>14</v>
      </c>
      <c r="K954" s="45">
        <f>(8-1-0.75*2)*0.65*60*F954</f>
        <v>643.5</v>
      </c>
      <c r="L954" s="48">
        <v>10.16</v>
      </c>
      <c r="M954" s="48">
        <v>10.16</v>
      </c>
      <c r="N954" s="45">
        <v>10</v>
      </c>
      <c r="O954" s="45">
        <f>E954/F954</f>
        <v>0.33333333333333331</v>
      </c>
      <c r="P954" s="45">
        <v>120</v>
      </c>
      <c r="Q954" s="45">
        <v>15</v>
      </c>
      <c r="R954" s="47">
        <v>15</v>
      </c>
      <c r="S954" s="47">
        <v>1.99</v>
      </c>
      <c r="T954" s="48">
        <f>ROUND((L954*I954+1.3*L954*K954+S954*H954),4)</f>
        <v>11553.972</v>
      </c>
      <c r="U954" s="48">
        <f>ROUND((M954*I954+1.3*M954*K954+S954*H954),4)</f>
        <v>11553.972</v>
      </c>
      <c r="V954" s="48">
        <f>ROUND((M954*I954+1.3*M954*K954+S954*H954),4)</f>
        <v>11553.972</v>
      </c>
      <c r="W954" s="48">
        <f>ROUND((L954*J954+1.3*L954*N954+S954*G954),4)</f>
        <v>286.26</v>
      </c>
      <c r="X954" s="48">
        <f>ROUND((M954*J954+1.3*M954*N954+S954*G954),4)</f>
        <v>286.26</v>
      </c>
      <c r="Y954" s="48">
        <f>ROUND((M954*J954+1.3*M954*N954+S954*G954),4)</f>
        <v>286.26</v>
      </c>
      <c r="Z954" s="49">
        <f>ROUND((P954*T954*F954*O954/1000000),4)</f>
        <v>1.3865000000000001</v>
      </c>
      <c r="AA954" s="49">
        <f>ROUND((Q954*U954*F954*O954/1000000),4)</f>
        <v>0.17330000000000001</v>
      </c>
      <c r="AB954" s="49">
        <f>ROUND((R954*V954*F954*O954/1000000),4)</f>
        <v>0.17330000000000001</v>
      </c>
      <c r="AC954" s="50" t="s">
        <v>200</v>
      </c>
      <c r="AD954" s="51" t="s">
        <v>153</v>
      </c>
      <c r="AE954" s="44">
        <f>ROUND((((X954*E954)/1800)*0.8),4)</f>
        <v>0.12720000000000001</v>
      </c>
      <c r="AF954" s="44">
        <f>ROUND(((Z954+AA954+AB954)*0.8),4)</f>
        <v>1.3865000000000001</v>
      </c>
    </row>
    <row r="955" spans="1:32" ht="12.95" customHeight="1" x14ac:dyDescent="0.25">
      <c r="A955" s="52"/>
      <c r="B955" s="53" t="s">
        <v>221</v>
      </c>
      <c r="C955" s="52"/>
      <c r="D955" s="52"/>
      <c r="E955" s="52"/>
      <c r="F955" s="52"/>
      <c r="G955" s="52"/>
      <c r="H955" s="52"/>
      <c r="I955" s="52"/>
      <c r="J955" s="52"/>
      <c r="K955" s="52"/>
      <c r="L955" s="56"/>
      <c r="M955" s="56"/>
      <c r="N955" s="52"/>
      <c r="O955" s="52"/>
      <c r="P955" s="52"/>
      <c r="Q955" s="52"/>
      <c r="R955" s="52"/>
      <c r="S955" s="57"/>
      <c r="T955" s="54"/>
      <c r="U955" s="54"/>
      <c r="V955" s="54"/>
      <c r="W955" s="54"/>
      <c r="X955" s="54"/>
      <c r="Y955" s="54"/>
      <c r="Z955" s="54"/>
      <c r="AA955" s="54"/>
      <c r="AB955" s="54"/>
      <c r="AC955" s="50" t="s">
        <v>201</v>
      </c>
      <c r="AD955" s="51" t="s">
        <v>202</v>
      </c>
      <c r="AE955" s="44">
        <f>ROUND((((X954*E954)/1800)*0.13),4)</f>
        <v>2.07E-2</v>
      </c>
      <c r="AF955" s="44">
        <f>ROUND(((Z954+AA954+AB954)*0.13),4)</f>
        <v>0.2253</v>
      </c>
    </row>
    <row r="956" spans="1:32" ht="12.95" customHeight="1" x14ac:dyDescent="0.25">
      <c r="A956" s="52"/>
      <c r="B956" s="88"/>
      <c r="C956" s="55"/>
      <c r="D956" s="55"/>
      <c r="E956" s="52"/>
      <c r="F956" s="52"/>
      <c r="G956" s="52"/>
      <c r="H956" s="52"/>
      <c r="I956" s="52"/>
      <c r="J956" s="52"/>
      <c r="K956" s="52"/>
      <c r="L956" s="59">
        <v>0.8</v>
      </c>
      <c r="M956" s="59">
        <v>0.98</v>
      </c>
      <c r="N956" s="52"/>
      <c r="O956" s="52"/>
      <c r="P956" s="52"/>
      <c r="Q956" s="52"/>
      <c r="R956" s="52"/>
      <c r="S956" s="60">
        <v>0.39</v>
      </c>
      <c r="T956" s="48">
        <f>ROUND((L956*I954+1.3*L956*K954+S956*H954),4)</f>
        <v>923.76</v>
      </c>
      <c r="U956" s="48">
        <f>ROUND((M956*0.9*I954+1.3*M956*0.9*K954+S956*H954),4)</f>
        <v>1016.0469000000001</v>
      </c>
      <c r="V956" s="48">
        <f>ROUND((M956*I954+1.3*M956*K954+S956*H954),4)</f>
        <v>1126.3409999999999</v>
      </c>
      <c r="W956" s="48">
        <f>ROUND((L956*J954+1.3*L956*N954+S956*G954),4)</f>
        <v>23.94</v>
      </c>
      <c r="X956" s="48">
        <f>ROUND((M956*0.9*J954+1.3*M956*0.9*N954+S956*G954),4)</f>
        <v>26.154</v>
      </c>
      <c r="Y956" s="48">
        <f>ROUND((M956*J954+1.3*M956*N954+S956*G954),4)</f>
        <v>28.8</v>
      </c>
      <c r="Z956" s="49">
        <f>ROUND((P954*T956*F954*O954/1000000),4)</f>
        <v>0.1109</v>
      </c>
      <c r="AA956" s="49">
        <f>ROUND((Q954*U956*F954*O954/1000000),4)</f>
        <v>1.52E-2</v>
      </c>
      <c r="AB956" s="49">
        <f>ROUND((R954*V956*F954*O954/1000000),4)</f>
        <v>1.6899999999999998E-2</v>
      </c>
      <c r="AC956" s="50" t="s">
        <v>203</v>
      </c>
      <c r="AD956" s="51" t="s">
        <v>204</v>
      </c>
      <c r="AE956" s="44">
        <f>ROUND((((X956*E954)/1800)),4)</f>
        <v>1.4500000000000001E-2</v>
      </c>
      <c r="AF956" s="44">
        <f>ROUND(((Z956+AA956+AB956)),5)</f>
        <v>0.14299999999999999</v>
      </c>
    </row>
    <row r="957" spans="1:32" ht="12.95" customHeight="1" x14ac:dyDescent="0.25">
      <c r="A957" s="52"/>
      <c r="B957" s="88"/>
      <c r="C957" s="52"/>
      <c r="D957" s="52"/>
      <c r="E957" s="52"/>
      <c r="F957" s="52"/>
      <c r="G957" s="52"/>
      <c r="H957" s="52"/>
      <c r="I957" s="52"/>
      <c r="J957" s="52"/>
      <c r="K957" s="52"/>
      <c r="L957" s="59">
        <v>1.79</v>
      </c>
      <c r="M957" s="59">
        <v>2.15</v>
      </c>
      <c r="N957" s="52"/>
      <c r="O957" s="52"/>
      <c r="P957" s="52"/>
      <c r="Q957" s="52"/>
      <c r="R957" s="52"/>
      <c r="S957" s="61">
        <v>1.24</v>
      </c>
      <c r="T957" s="48">
        <f>ROUND((L957*I954+1.3*L957*K954+S957*H954),4)</f>
        <v>2088.9555</v>
      </c>
      <c r="U957" s="48">
        <f>ROUND((M957*0.9*I954+1.3*M957*0.9*K954+S957*H954),4)</f>
        <v>2252.1457999999998</v>
      </c>
      <c r="V957" s="48">
        <f>ROUND((M957*I954+1.3*M957*K954+S957*H954),4)</f>
        <v>2494.1174999999998</v>
      </c>
      <c r="W957" s="48">
        <f>ROUND((L957*J954+1.3*L957*N954+S957*G954),4)</f>
        <v>55.77</v>
      </c>
      <c r="X957" s="48">
        <f>ROUND((M957*0.9*J954+1.3*M957*0.9*N954+S957*G954),4)</f>
        <v>59.685000000000002</v>
      </c>
      <c r="Y957" s="48">
        <f>ROUND((M957*J954+1.3*N954+S957*G954),4)</f>
        <v>50.54</v>
      </c>
      <c r="Z957" s="49">
        <f>ROUND((P954*T957*F954*O954/1000000),4)</f>
        <v>0.25069999999999998</v>
      </c>
      <c r="AA957" s="49">
        <f>ROUND((Q954*U957*F954*O954/1000000),4)</f>
        <v>3.3799999999999997E-2</v>
      </c>
      <c r="AB957" s="49">
        <f>ROUND((R954*V957*F954*O954/1000000),4)</f>
        <v>3.7400000000000003E-2</v>
      </c>
      <c r="AC957" s="50" t="s">
        <v>205</v>
      </c>
      <c r="AD957" s="51" t="s">
        <v>206</v>
      </c>
      <c r="AE957" s="44">
        <f>ROUND((((X957*E954)/1800)),4)</f>
        <v>3.32E-2</v>
      </c>
      <c r="AF957" s="44">
        <f>ROUND(((Z957+AA957+AB957)),4)</f>
        <v>0.32190000000000002</v>
      </c>
    </row>
    <row r="958" spans="1:32" ht="12.95" customHeight="1" x14ac:dyDescent="0.25">
      <c r="A958" s="52"/>
      <c r="B958" s="53"/>
      <c r="C958" s="52"/>
      <c r="D958" s="52"/>
      <c r="E958" s="52"/>
      <c r="F958" s="52"/>
      <c r="G958" s="52"/>
      <c r="H958" s="52"/>
      <c r="I958" s="52"/>
      <c r="J958" s="52"/>
      <c r="K958" s="52"/>
      <c r="L958" s="59">
        <v>1.1299999999999999</v>
      </c>
      <c r="M958" s="59">
        <v>1.7</v>
      </c>
      <c r="N958" s="52"/>
      <c r="O958" s="52"/>
      <c r="P958" s="52"/>
      <c r="Q958" s="52"/>
      <c r="R958" s="52"/>
      <c r="S958" s="61">
        <v>0.26</v>
      </c>
      <c r="T958" s="48">
        <f>ROUND((L958*I954+1.3*L958*K954+S958*H954),4)</f>
        <v>1287.3585</v>
      </c>
      <c r="U958" s="48">
        <f>ROUND((M958*0.9*I954+1.3*M958*0.9*K954+S958*H954),4)</f>
        <v>1737.5385000000001</v>
      </c>
      <c r="V958" s="48">
        <f>ROUND((M958*I954+1.3*M958*K954+S958*H954),4)</f>
        <v>1928.865</v>
      </c>
      <c r="W958" s="48">
        <f>ROUND((L958*J954+1.3*L958*N954+S958*G954),4)</f>
        <v>32.07</v>
      </c>
      <c r="X958" s="48">
        <f>ROUND((M958*0.9*J954+1.3*M958*0.9*N954+S958*G954),4)</f>
        <v>42.87</v>
      </c>
      <c r="Y958" s="48">
        <f>ROUND((M958*J954+1.3*M958*N954+S958*G954),4)</f>
        <v>47.46</v>
      </c>
      <c r="Z958" s="49">
        <f>ROUND((P954*T958*F954*O954/1000000),4)</f>
        <v>0.1545</v>
      </c>
      <c r="AA958" s="49">
        <f>ROUND((Q954*U958*F954*O954/1000000),4)</f>
        <v>2.6100000000000002E-2</v>
      </c>
      <c r="AB958" s="49">
        <f>ROUND((R954*V958*F954*O954/1000000),4)</f>
        <v>2.8899999999999999E-2</v>
      </c>
      <c r="AC958" s="50" t="s">
        <v>250</v>
      </c>
      <c r="AD958" s="51" t="s">
        <v>208</v>
      </c>
      <c r="AE958" s="44">
        <f>ROUND((((X958*E954)/1800)),4)</f>
        <v>2.3800000000000002E-2</v>
      </c>
      <c r="AF958" s="44">
        <f>ROUND(((Z958+AA958+AB958)),4)</f>
        <v>0.20949999999999999</v>
      </c>
    </row>
    <row r="959" spans="1:32" ht="12.95" customHeight="1" x14ac:dyDescent="0.25">
      <c r="A959" s="52"/>
      <c r="B959" s="62"/>
      <c r="C959" s="56"/>
      <c r="D959" s="56"/>
      <c r="E959" s="56"/>
      <c r="F959" s="56"/>
      <c r="G959" s="56"/>
      <c r="H959" s="56"/>
      <c r="I959" s="56"/>
      <c r="J959" s="56"/>
      <c r="K959" s="56"/>
      <c r="L959" s="59">
        <v>5.3</v>
      </c>
      <c r="M959" s="59">
        <v>6.47</v>
      </c>
      <c r="N959" s="56"/>
      <c r="O959" s="56"/>
      <c r="P959" s="56"/>
      <c r="Q959" s="56"/>
      <c r="R959" s="56"/>
      <c r="S959" s="61">
        <v>9.92</v>
      </c>
      <c r="T959" s="48">
        <f>ROUND((L959*I954+1.3*L959*K954+S959*H954),4)</f>
        <v>6560.085</v>
      </c>
      <c r="U959" s="48">
        <f>ROUND((M959*0.9*I954+1.3*M959*0.9*K954+S959*H954),4)</f>
        <v>7148.6953999999996</v>
      </c>
      <c r="V959" s="48">
        <f>ROUND((M959*I954+1.3*M959*K954+S959*H954),4)</f>
        <v>7876.8615</v>
      </c>
      <c r="W959" s="48">
        <f>ROUND((L959*J954+1.3*L959*N954+S959*G954),4)</f>
        <v>202.62</v>
      </c>
      <c r="X959" s="48">
        <f>ROUND((M959*0.9*J954+1.3*M959*0.9*N954+S959*G954),4)</f>
        <v>216.74100000000001</v>
      </c>
      <c r="Y959" s="48">
        <f>ROUND((M959*J954+1.3*M959*N954+S959*G954),4)</f>
        <v>234.21</v>
      </c>
      <c r="Z959" s="49">
        <f>ROUND((P954*T959*F954*O954/1000000),4)</f>
        <v>0.78720000000000001</v>
      </c>
      <c r="AA959" s="49">
        <f>ROUND((Q954*U959*F954*O954/1000000),4)</f>
        <v>0.1072</v>
      </c>
      <c r="AB959" s="49">
        <f>ROUND((R954*V959*F954*O954/1000000),4)</f>
        <v>0.1182</v>
      </c>
      <c r="AC959" s="50" t="s">
        <v>170</v>
      </c>
      <c r="AD959" s="51" t="s">
        <v>162</v>
      </c>
      <c r="AE959" s="44">
        <f>ROUND((((X959*E954)/1800)),4)</f>
        <v>0.12039999999999999</v>
      </c>
      <c r="AF959" s="44">
        <f>ROUND(((Z959+AA959+AB959)),4)</f>
        <v>1.0125999999999999</v>
      </c>
    </row>
    <row r="960" spans="1:32" ht="12.95" customHeight="1" x14ac:dyDescent="0.25">
      <c r="A960" s="52"/>
      <c r="B960" s="67" t="s">
        <v>220</v>
      </c>
      <c r="C960" s="46">
        <v>7</v>
      </c>
      <c r="D960" s="45" t="s">
        <v>217</v>
      </c>
      <c r="E960" s="45">
        <v>1</v>
      </c>
      <c r="F960" s="45">
        <v>1</v>
      </c>
      <c r="G960" s="45">
        <v>6</v>
      </c>
      <c r="H960" s="45">
        <v>60</v>
      </c>
      <c r="I960" s="45">
        <f>(8-1-0.75*2)*60*F960-K960-8*0.12*60</f>
        <v>57.900000000000006</v>
      </c>
      <c r="J960" s="45">
        <v>14</v>
      </c>
      <c r="K960" s="45">
        <f>(8-1-0.75*2)*0.65*60*F960</f>
        <v>214.5</v>
      </c>
      <c r="L960" s="48">
        <v>10.16</v>
      </c>
      <c r="M960" s="48">
        <v>10.16</v>
      </c>
      <c r="N960" s="45">
        <v>10</v>
      </c>
      <c r="O960" s="45">
        <f>E960/F960</f>
        <v>1</v>
      </c>
      <c r="P960" s="45">
        <v>120</v>
      </c>
      <c r="Q960" s="45">
        <v>15</v>
      </c>
      <c r="R960" s="47">
        <v>15</v>
      </c>
      <c r="S960" s="47">
        <v>1.99</v>
      </c>
      <c r="T960" s="48">
        <f>ROUND((L960*I960+1.3*L960*K960+S960*H960),4)</f>
        <v>3540.78</v>
      </c>
      <c r="U960" s="48">
        <f>ROUND((M960*I960+1.3*M960*K960+S960*H960),4)</f>
        <v>3540.78</v>
      </c>
      <c r="V960" s="48">
        <f>ROUND((M960*I960+1.3*M960*K960+S960*H960),4)</f>
        <v>3540.78</v>
      </c>
      <c r="W960" s="48">
        <f>ROUND((L960*J960+1.3*L960*N960+S960*G960),4)</f>
        <v>286.26</v>
      </c>
      <c r="X960" s="48">
        <f>ROUND((M960*J960+1.3*M960*N960+S960*G960),4)</f>
        <v>286.26</v>
      </c>
      <c r="Y960" s="48">
        <f>ROUND((M960*J960+1.3*M960*N960+S960*G960),4)</f>
        <v>286.26</v>
      </c>
      <c r="Z960" s="49">
        <f>ROUND((P960*T960*F960*O960/1000000),4)</f>
        <v>0.4249</v>
      </c>
      <c r="AA960" s="49">
        <f>ROUND((Q960*U960*F960*O960/1000000),4)</f>
        <v>5.3100000000000001E-2</v>
      </c>
      <c r="AB960" s="49">
        <f>ROUND((R960*V960*F960*O960/1000000),4)</f>
        <v>5.3100000000000001E-2</v>
      </c>
      <c r="AC960" s="50" t="s">
        <v>200</v>
      </c>
      <c r="AD960" s="51" t="s">
        <v>153</v>
      </c>
      <c r="AE960" s="44">
        <f>ROUND((((X960*E960)/1800)*0.8),4)</f>
        <v>0.12720000000000001</v>
      </c>
      <c r="AF960" s="44">
        <f>ROUND(((Z960+AA960+AB960)*0.8),4)</f>
        <v>0.4249</v>
      </c>
    </row>
    <row r="961" spans="1:34" ht="12.95" customHeight="1" x14ac:dyDescent="0.25">
      <c r="A961" s="52"/>
      <c r="B961" s="53" t="s">
        <v>222</v>
      </c>
      <c r="C961" s="52"/>
      <c r="D961" s="52"/>
      <c r="E961" s="52"/>
      <c r="F961" s="63"/>
      <c r="G961" s="52"/>
      <c r="H961" s="52"/>
      <c r="I961" s="52"/>
      <c r="J961" s="52"/>
      <c r="K961" s="52"/>
      <c r="L961" s="56"/>
      <c r="M961" s="56"/>
      <c r="N961" s="52"/>
      <c r="O961" s="52"/>
      <c r="P961" s="52"/>
      <c r="Q961" s="52"/>
      <c r="R961" s="52"/>
      <c r="S961" s="57"/>
      <c r="T961" s="54"/>
      <c r="U961" s="54"/>
      <c r="V961" s="54"/>
      <c r="W961" s="54"/>
      <c r="X961" s="54"/>
      <c r="Y961" s="54"/>
      <c r="Z961" s="54"/>
      <c r="AA961" s="54"/>
      <c r="AB961" s="54"/>
      <c r="AC961" s="50" t="s">
        <v>201</v>
      </c>
      <c r="AD961" s="51" t="s">
        <v>202</v>
      </c>
      <c r="AE961" s="44">
        <f>ROUND((((X960*E960)/1800)*0.13),4)</f>
        <v>2.07E-2</v>
      </c>
      <c r="AF961" s="44">
        <f>ROUND(((Z960+AA960+AB960)*0.13),4)</f>
        <v>6.9000000000000006E-2</v>
      </c>
    </row>
    <row r="962" spans="1:34" ht="12.95" customHeight="1" x14ac:dyDescent="0.25">
      <c r="A962" s="52"/>
      <c r="B962" s="88"/>
      <c r="C962" s="55"/>
      <c r="D962" s="55"/>
      <c r="E962" s="52"/>
      <c r="F962" s="63"/>
      <c r="G962" s="52"/>
      <c r="H962" s="52"/>
      <c r="I962" s="52"/>
      <c r="J962" s="52"/>
      <c r="K962" s="52"/>
      <c r="L962" s="59">
        <v>0.8</v>
      </c>
      <c r="M962" s="59">
        <v>0.98</v>
      </c>
      <c r="N962" s="52"/>
      <c r="O962" s="52"/>
      <c r="P962" s="52"/>
      <c r="Q962" s="52"/>
      <c r="R962" s="52"/>
      <c r="S962" s="60">
        <v>0.39</v>
      </c>
      <c r="T962" s="48">
        <f>ROUND((L962*I960+1.3*L962*K960+S962*H960),4)</f>
        <v>292.8</v>
      </c>
      <c r="U962" s="48">
        <f>ROUND((M962*0.9*I960+1.3*M962*0.9*K960+S962*H960),4)</f>
        <v>320.4135</v>
      </c>
      <c r="V962" s="48">
        <f>ROUND((M962*I960+1.3*M962*K960+S962*H960),4)</f>
        <v>353.41500000000002</v>
      </c>
      <c r="W962" s="48">
        <f>ROUND((L962*J960+1.3*L962*N960+S962*G960),4)</f>
        <v>23.94</v>
      </c>
      <c r="X962" s="48">
        <f>ROUND((M962*0.9*J960+1.3*M962*0.9*N960+S962*G960),4)</f>
        <v>26.154</v>
      </c>
      <c r="Y962" s="48">
        <f>ROUND((M962*J960+1.3*M962*N960+S962*G960),4)</f>
        <v>28.8</v>
      </c>
      <c r="Z962" s="49">
        <f>ROUND((P960*T962*F960*O960/1000000),4)</f>
        <v>3.5099999999999999E-2</v>
      </c>
      <c r="AA962" s="49">
        <f>ROUND((Q960*U962*F960*O960/1000000),4)</f>
        <v>4.7999999999999996E-3</v>
      </c>
      <c r="AB962" s="49">
        <f>ROUND((R960*V962*F960*O960/1000000),4)</f>
        <v>5.3E-3</v>
      </c>
      <c r="AC962" s="50" t="s">
        <v>203</v>
      </c>
      <c r="AD962" s="51" t="s">
        <v>204</v>
      </c>
      <c r="AE962" s="44">
        <f>ROUND((((X962*E960)/1800)),4)</f>
        <v>1.4500000000000001E-2</v>
      </c>
      <c r="AF962" s="44">
        <f>ROUND(((Z962+AA962+AB962)),5)</f>
        <v>4.5199999999999997E-2</v>
      </c>
    </row>
    <row r="963" spans="1:34" ht="12.95" customHeight="1" x14ac:dyDescent="0.25">
      <c r="A963" s="52"/>
      <c r="B963" s="88"/>
      <c r="C963" s="52"/>
      <c r="D963" s="52"/>
      <c r="E963" s="52"/>
      <c r="F963" s="63"/>
      <c r="G963" s="52"/>
      <c r="H963" s="52"/>
      <c r="I963" s="52"/>
      <c r="J963" s="52"/>
      <c r="K963" s="52"/>
      <c r="L963" s="59">
        <v>1.79</v>
      </c>
      <c r="M963" s="59">
        <v>2.15</v>
      </c>
      <c r="N963" s="52"/>
      <c r="O963" s="52"/>
      <c r="P963" s="52"/>
      <c r="Q963" s="52"/>
      <c r="R963" s="52"/>
      <c r="S963" s="61">
        <v>1.24</v>
      </c>
      <c r="T963" s="48">
        <f>ROUND((L963*I960+1.3*L963*K960+S963*H960),4)</f>
        <v>677.1825</v>
      </c>
      <c r="U963" s="48">
        <f>ROUND((M963*0.9*I960+1.3*M963*0.9*K960+S963*H960),4)</f>
        <v>726.01130000000001</v>
      </c>
      <c r="V963" s="48">
        <f>ROUND((M963*I960+1.3*M963*K960+S963*H960),4)</f>
        <v>798.41250000000002</v>
      </c>
      <c r="W963" s="48">
        <f>ROUND((L963*J960+1.3*L963*N960+S963*G960),4)</f>
        <v>55.77</v>
      </c>
      <c r="X963" s="48">
        <f>ROUND((M963*0.9*J960+1.3*M963*0.9*N960+S963*G960),4)</f>
        <v>59.685000000000002</v>
      </c>
      <c r="Y963" s="48">
        <f>ROUND((M963*J960+1.3*N960+S963*G960),4)</f>
        <v>50.54</v>
      </c>
      <c r="Z963" s="49">
        <f>ROUND((P960*T963*F960*O960/1000000),4)</f>
        <v>8.1299999999999997E-2</v>
      </c>
      <c r="AA963" s="49">
        <f>ROUND((Q960*U963*F960*O960/1000000),4)</f>
        <v>1.09E-2</v>
      </c>
      <c r="AB963" s="49">
        <f>ROUND((R960*V963*F960*O960/1000000),4)</f>
        <v>1.2E-2</v>
      </c>
      <c r="AC963" s="50" t="s">
        <v>205</v>
      </c>
      <c r="AD963" s="51" t="s">
        <v>206</v>
      </c>
      <c r="AE963" s="44">
        <f>ROUND((((X963*E960)/1800)),4)</f>
        <v>3.32E-2</v>
      </c>
      <c r="AF963" s="44">
        <f>ROUND(((Z963+AA963+AB963)),4)</f>
        <v>0.1042</v>
      </c>
    </row>
    <row r="964" spans="1:34" ht="12.95" customHeight="1" x14ac:dyDescent="0.25">
      <c r="A964" s="52"/>
      <c r="B964" s="53"/>
      <c r="C964" s="52"/>
      <c r="D964" s="52"/>
      <c r="E964" s="52"/>
      <c r="F964" s="63"/>
      <c r="G964" s="52"/>
      <c r="H964" s="52"/>
      <c r="I964" s="52"/>
      <c r="J964" s="52"/>
      <c r="K964" s="52"/>
      <c r="L964" s="59">
        <v>1.1299999999999999</v>
      </c>
      <c r="M964" s="59">
        <v>1.7</v>
      </c>
      <c r="N964" s="52"/>
      <c r="O964" s="52"/>
      <c r="P964" s="52"/>
      <c r="Q964" s="52"/>
      <c r="R964" s="52"/>
      <c r="S964" s="61">
        <v>0.26</v>
      </c>
      <c r="T964" s="48">
        <f>ROUND((L964*I960+1.3*L964*K960+S964*H960),4)</f>
        <v>396.1275</v>
      </c>
      <c r="U964" s="48">
        <f>ROUND((M964*0.9*I960+1.3*M964*0.9*K960+S964*H960),4)</f>
        <v>530.82749999999999</v>
      </c>
      <c r="V964" s="48">
        <f>ROUND((M964*I960+1.3*M964*K960+S964*H960),4)</f>
        <v>588.07500000000005</v>
      </c>
      <c r="W964" s="48">
        <f>ROUND((L964*J960+1.3*L964*N960+S964*G960),4)</f>
        <v>32.07</v>
      </c>
      <c r="X964" s="48">
        <f>ROUND((M964*0.9*J960+1.3*M964*0.9*N960+S964*G960),4)</f>
        <v>42.87</v>
      </c>
      <c r="Y964" s="48">
        <f>ROUND((M964*J960+1.3*M964*N960+S964*G960),4)</f>
        <v>47.46</v>
      </c>
      <c r="Z964" s="49">
        <f>ROUND((P960*T964*F960*O960/1000000),4)</f>
        <v>4.7500000000000001E-2</v>
      </c>
      <c r="AA964" s="49">
        <f>ROUND((Q960*U964*F960*O960/1000000),4)</f>
        <v>8.0000000000000002E-3</v>
      </c>
      <c r="AB964" s="49">
        <f>ROUND((R960*V964*F960*O960/1000000),4)</f>
        <v>8.8000000000000005E-3</v>
      </c>
      <c r="AC964" s="50" t="s">
        <v>250</v>
      </c>
      <c r="AD964" s="51" t="s">
        <v>208</v>
      </c>
      <c r="AE964" s="44">
        <f>ROUND((((X964*E960)/1800)),4)</f>
        <v>2.3800000000000002E-2</v>
      </c>
      <c r="AF964" s="44">
        <f>ROUND(((Z964+AA964+AB964)),4)</f>
        <v>6.4299999999999996E-2</v>
      </c>
    </row>
    <row r="965" spans="1:34" ht="12.95" customHeight="1" x14ac:dyDescent="0.25">
      <c r="A965" s="52"/>
      <c r="B965" s="62"/>
      <c r="C965" s="56"/>
      <c r="D965" s="56"/>
      <c r="E965" s="56"/>
      <c r="F965" s="66"/>
      <c r="G965" s="56"/>
      <c r="H965" s="56"/>
      <c r="I965" s="56"/>
      <c r="J965" s="56"/>
      <c r="K965" s="56"/>
      <c r="L965" s="59">
        <v>5.3</v>
      </c>
      <c r="M965" s="59">
        <v>6.47</v>
      </c>
      <c r="N965" s="56"/>
      <c r="O965" s="56"/>
      <c r="P965" s="56"/>
      <c r="Q965" s="56"/>
      <c r="R965" s="56"/>
      <c r="S965" s="61">
        <v>9.92</v>
      </c>
      <c r="T965" s="48">
        <f>ROUND((L965*I960+1.3*L965*K960+S965*H960),4)</f>
        <v>2379.9749999999999</v>
      </c>
      <c r="U965" s="48">
        <f>ROUND((M965*0.9*I960+1.3*M965*0.9*K960+S965*H960),4)</f>
        <v>2556.0953</v>
      </c>
      <c r="V965" s="48">
        <f>ROUND((M965*I960+1.3*M965*K960+S965*H960),4)</f>
        <v>2773.9724999999999</v>
      </c>
      <c r="W965" s="48">
        <f>ROUND((L965*J960+1.3*L965*N960+S965*G960),4)</f>
        <v>202.62</v>
      </c>
      <c r="X965" s="48">
        <f>ROUND((M965*0.9*J960+1.3*M965*0.9*N960+S965*G960),4)</f>
        <v>216.74100000000001</v>
      </c>
      <c r="Y965" s="48">
        <f>ROUND((M965*J960+1.3*M965*N960+S965*G960),4)</f>
        <v>234.21</v>
      </c>
      <c r="Z965" s="49">
        <f>ROUND((P960*T965*F960*O960/1000000),4)</f>
        <v>0.28560000000000002</v>
      </c>
      <c r="AA965" s="49">
        <f>ROUND((Q960*U965*F960*O960/1000000),4)</f>
        <v>3.8300000000000001E-2</v>
      </c>
      <c r="AB965" s="49">
        <f>ROUND((R960*V965*F960*O960/1000000),4)</f>
        <v>4.1599999999999998E-2</v>
      </c>
      <c r="AC965" s="50" t="s">
        <v>170</v>
      </c>
      <c r="AD965" s="51" t="s">
        <v>162</v>
      </c>
      <c r="AE965" s="44">
        <f>ROUND((((X965*E960)/1800)),4)</f>
        <v>0.12039999999999999</v>
      </c>
      <c r="AF965" s="44">
        <f>ROUND(((Z965+AA965+AB965)),4)</f>
        <v>0.36549999999999999</v>
      </c>
    </row>
    <row r="966" spans="1:34" ht="12.95" customHeight="1" x14ac:dyDescent="0.25">
      <c r="A966" s="52"/>
      <c r="B966" s="67" t="s">
        <v>223</v>
      </c>
      <c r="C966" s="46">
        <v>1</v>
      </c>
      <c r="D966" s="45" t="s">
        <v>225</v>
      </c>
      <c r="E966" s="45">
        <v>1</v>
      </c>
      <c r="F966" s="45">
        <v>1</v>
      </c>
      <c r="G966" s="45">
        <v>6</v>
      </c>
      <c r="H966" s="45">
        <v>60</v>
      </c>
      <c r="I966" s="45">
        <f>(8-1-0.75*2)*60*F966-K966-8*0.12*60</f>
        <v>57.900000000000006</v>
      </c>
      <c r="J966" s="45">
        <v>14</v>
      </c>
      <c r="K966" s="45">
        <f>(8-1-0.75*2)*0.65*60*F966</f>
        <v>214.5</v>
      </c>
      <c r="L966" s="48">
        <v>0.47</v>
      </c>
      <c r="M966" s="48">
        <v>0.47</v>
      </c>
      <c r="N966" s="45">
        <v>10</v>
      </c>
      <c r="O966" s="45">
        <f>E966/F966</f>
        <v>1</v>
      </c>
      <c r="P966" s="45">
        <v>120</v>
      </c>
      <c r="Q966" s="45">
        <v>30</v>
      </c>
      <c r="R966" s="47">
        <v>0</v>
      </c>
      <c r="S966" s="47">
        <v>0.09</v>
      </c>
      <c r="T966" s="48">
        <f>ROUND((L966*I966+1.3*L966*K966+S966*H966),4)</f>
        <v>163.67250000000001</v>
      </c>
      <c r="U966" s="48">
        <f>ROUND((M966*I966+1.3*M966*K966+S966*H966),4)</f>
        <v>163.67250000000001</v>
      </c>
      <c r="V966" s="48">
        <f>ROUND((M966*I966+1.3*M966*K966+S966*H966),4)</f>
        <v>163.67250000000001</v>
      </c>
      <c r="W966" s="48">
        <f>ROUND((L966*J966+1.3*L966*N966+S966*G966),4)</f>
        <v>13.23</v>
      </c>
      <c r="X966" s="48">
        <f>ROUND((M966*J966+1.3*M966*N966+S966*G966),4)</f>
        <v>13.23</v>
      </c>
      <c r="Y966" s="48">
        <f>ROUND((M966*J966+1.3*M966*N966+S966*G966),4)</f>
        <v>13.23</v>
      </c>
      <c r="Z966" s="49">
        <f>ROUND((P966*T966*F966*O966/1000000),4)</f>
        <v>1.9599999999999999E-2</v>
      </c>
      <c r="AA966" s="49">
        <f>ROUND((Q966*U966*F966*O966/1000000),4)</f>
        <v>4.8999999999999998E-3</v>
      </c>
      <c r="AB966" s="49">
        <f>ROUND((R966*V966*F966*O966/1000000),4)</f>
        <v>0</v>
      </c>
      <c r="AC966" s="50" t="s">
        <v>200</v>
      </c>
      <c r="AD966" s="51" t="s">
        <v>153</v>
      </c>
      <c r="AE966" s="44">
        <f>ROUND((((X966*E966)/1800)*0.8),4)</f>
        <v>5.8999999999999999E-3</v>
      </c>
      <c r="AF966" s="44">
        <f>ROUND(((Z966+AA966+AB966)*0.8),4)</f>
        <v>1.9599999999999999E-2</v>
      </c>
      <c r="AG966" s="88"/>
      <c r="AH966" s="88"/>
    </row>
    <row r="967" spans="1:34" ht="12.95" customHeight="1" x14ac:dyDescent="0.25">
      <c r="A967" s="52"/>
      <c r="B967" s="53" t="s">
        <v>224</v>
      </c>
      <c r="C967" s="52"/>
      <c r="D967" s="52"/>
      <c r="E967" s="52"/>
      <c r="F967" s="63"/>
      <c r="G967" s="52"/>
      <c r="H967" s="52"/>
      <c r="I967" s="52"/>
      <c r="J967" s="52"/>
      <c r="K967" s="52"/>
      <c r="L967" s="56"/>
      <c r="M967" s="56"/>
      <c r="N967" s="52"/>
      <c r="O967" s="52"/>
      <c r="P967" s="52"/>
      <c r="Q967" s="52"/>
      <c r="R967" s="52"/>
      <c r="S967" s="57"/>
      <c r="T967" s="54"/>
      <c r="U967" s="54"/>
      <c r="V967" s="54"/>
      <c r="W967" s="54"/>
      <c r="X967" s="54"/>
      <c r="Y967" s="54"/>
      <c r="Z967" s="54"/>
      <c r="AA967" s="54"/>
      <c r="AB967" s="54"/>
      <c r="AC967" s="50" t="s">
        <v>201</v>
      </c>
      <c r="AD967" s="51" t="s">
        <v>202</v>
      </c>
      <c r="AE967" s="44">
        <f>ROUND((((X966*E966)/1800)*0.13),4)</f>
        <v>1E-3</v>
      </c>
      <c r="AF967" s="44">
        <f>ROUND(((Z966+AA966+AB966)*0.13),4)</f>
        <v>3.2000000000000002E-3</v>
      </c>
      <c r="AG967" s="88"/>
      <c r="AH967" s="88"/>
    </row>
    <row r="968" spans="1:34" ht="12.95" customHeight="1" x14ac:dyDescent="0.25">
      <c r="A968" s="52"/>
      <c r="B968" s="88"/>
      <c r="C968" s="55"/>
      <c r="D968" s="55"/>
      <c r="E968" s="52"/>
      <c r="F968" s="63"/>
      <c r="G968" s="52"/>
      <c r="H968" s="52"/>
      <c r="I968" s="52"/>
      <c r="J968" s="52"/>
      <c r="K968" s="52"/>
      <c r="L968" s="59">
        <v>0.8</v>
      </c>
      <c r="M968" s="59">
        <v>0.98</v>
      </c>
      <c r="N968" s="52"/>
      <c r="O968" s="52"/>
      <c r="P968" s="52"/>
      <c r="Q968" s="52"/>
      <c r="R968" s="52"/>
      <c r="S968" s="60">
        <v>1.7999999999999999E-2</v>
      </c>
      <c r="T968" s="48">
        <f>ROUND((L968*I966+1.3*L968*K966+S968*H966),4)</f>
        <v>270.48</v>
      </c>
      <c r="U968" s="48">
        <f>ROUND((M968*0.9*I966+1.3*M968*0.9*K966+S968*H966),4)</f>
        <v>298.09350000000001</v>
      </c>
      <c r="V968" s="48">
        <f>ROUND((M968*I966+1.3*M968*K966+S968*H966),4)</f>
        <v>331.09500000000003</v>
      </c>
      <c r="W968" s="48">
        <f>ROUND((L968*J966+1.3*L968*N966+S968*G966),4)</f>
        <v>21.707999999999998</v>
      </c>
      <c r="X968" s="48">
        <f>ROUND((M968*0.9*J966+1.3*M968*0.9*N966+S968*G966),4)</f>
        <v>23.922000000000001</v>
      </c>
      <c r="Y968" s="48">
        <f>ROUND((M968*J966+1.3*M968*N966+S968*G966),4)</f>
        <v>26.568000000000001</v>
      </c>
      <c r="Z968" s="49">
        <f>ROUND((P966*T968*F966*O966/1000000),4)</f>
        <v>3.2500000000000001E-2</v>
      </c>
      <c r="AA968" s="49">
        <f>ROUND((Q966*U968*F966*O966/1000000),4)</f>
        <v>8.8999999999999999E-3</v>
      </c>
      <c r="AB968" s="49">
        <f>ROUND((R966*V968*F966*O966/1000000),4)</f>
        <v>0</v>
      </c>
      <c r="AC968" s="50" t="s">
        <v>203</v>
      </c>
      <c r="AD968" s="51" t="s">
        <v>204</v>
      </c>
      <c r="AE968" s="44">
        <f>ROUND((((X968*E966)/1800)),4)</f>
        <v>1.3299999999999999E-2</v>
      </c>
      <c r="AF968" s="44">
        <f>ROUND(((Z968+AA968+AB968)),5)</f>
        <v>4.1399999999999999E-2</v>
      </c>
      <c r="AG968" s="88"/>
      <c r="AH968" s="88"/>
    </row>
    <row r="969" spans="1:34" ht="12.95" customHeight="1" x14ac:dyDescent="0.25">
      <c r="A969" s="52"/>
      <c r="B969" s="88"/>
      <c r="C969" s="52"/>
      <c r="D969" s="52"/>
      <c r="E969" s="52"/>
      <c r="F969" s="63"/>
      <c r="G969" s="52"/>
      <c r="H969" s="52"/>
      <c r="I969" s="52"/>
      <c r="J969" s="52"/>
      <c r="K969" s="52"/>
      <c r="L969" s="59">
        <v>0.08</v>
      </c>
      <c r="M969" s="59">
        <v>0.1</v>
      </c>
      <c r="N969" s="52"/>
      <c r="O969" s="52"/>
      <c r="P969" s="52"/>
      <c r="Q969" s="52"/>
      <c r="R969" s="52"/>
      <c r="S969" s="61">
        <v>0.06</v>
      </c>
      <c r="T969" s="48">
        <f>ROUND((L969*I966+1.3*L969*K966+S969*H966),4)</f>
        <v>30.54</v>
      </c>
      <c r="U969" s="48">
        <f>ROUND((M969*0.9*I966+1.3*M969*0.9*K966+S969*H966),4)</f>
        <v>33.907499999999999</v>
      </c>
      <c r="V969" s="48">
        <f>ROUND((M969*I966+1.3*M969*K966+S969*H966),4)</f>
        <v>37.274999999999999</v>
      </c>
      <c r="W969" s="48">
        <f>ROUND((L969*J966+1.3*L969*N966+S969*G966),4)</f>
        <v>2.52</v>
      </c>
      <c r="X969" s="48">
        <f>ROUND((M969*0.9*J966+1.3*M969*0.9*N966+S969*G966),4)</f>
        <v>2.79</v>
      </c>
      <c r="Y969" s="48">
        <f>ROUND((M969*J966+1.3*N966+S969*G966),4)</f>
        <v>14.76</v>
      </c>
      <c r="Z969" s="49">
        <f>ROUND((P966*T969*F966*O966/1000000),4)</f>
        <v>3.7000000000000002E-3</v>
      </c>
      <c r="AA969" s="49">
        <f>ROUND((Q966*U969*F966*O966/1000000),4)</f>
        <v>1E-3</v>
      </c>
      <c r="AB969" s="49">
        <f>ROUND((R966*V969*F966*O966/1000000),4)</f>
        <v>0</v>
      </c>
      <c r="AC969" s="50" t="s">
        <v>205</v>
      </c>
      <c r="AD969" s="51" t="s">
        <v>206</v>
      </c>
      <c r="AE969" s="44">
        <f>ROUND((((X969*E966)/1800)),4)</f>
        <v>1.6000000000000001E-3</v>
      </c>
      <c r="AF969" s="44">
        <f>ROUND(((Z969+AA969+AB969)),4)</f>
        <v>4.7000000000000002E-3</v>
      </c>
      <c r="AG969" s="88"/>
      <c r="AH969" s="88"/>
    </row>
    <row r="970" spans="1:34" ht="12.95" customHeight="1" x14ac:dyDescent="0.25">
      <c r="A970" s="52"/>
      <c r="B970" s="53"/>
      <c r="C970" s="52"/>
      <c r="D970" s="52"/>
      <c r="E970" s="52"/>
      <c r="F970" s="63"/>
      <c r="G970" s="52"/>
      <c r="H970" s="52"/>
      <c r="I970" s="52"/>
      <c r="J970" s="52"/>
      <c r="K970" s="52"/>
      <c r="L970" s="59">
        <v>0.05</v>
      </c>
      <c r="M970" s="59">
        <v>7.0000000000000007E-2</v>
      </c>
      <c r="N970" s="52"/>
      <c r="O970" s="52"/>
      <c r="P970" s="52"/>
      <c r="Q970" s="52"/>
      <c r="R970" s="52"/>
      <c r="S970" s="61">
        <v>0.01</v>
      </c>
      <c r="T970" s="48">
        <f>ROUND((L970*I966+1.3*L970*K966+S970*H966),4)</f>
        <v>17.4375</v>
      </c>
      <c r="U970" s="48">
        <f>ROUND((M970*0.9*I966+1.3*M970*0.9*K966+S970*H966),4)</f>
        <v>21.815300000000001</v>
      </c>
      <c r="V970" s="48">
        <f>ROUND((M970*I966+1.3*M970*K966+S970*H966),4)</f>
        <v>24.172499999999999</v>
      </c>
      <c r="W970" s="48">
        <f>ROUND((L970*J966+1.3*L970*N966+S970*G966),4)</f>
        <v>1.41</v>
      </c>
      <c r="X970" s="48">
        <f>ROUND((M970*0.9*J966+1.3*M970*0.9*N966+S970*G966),4)</f>
        <v>1.7609999999999999</v>
      </c>
      <c r="Y970" s="48">
        <f>ROUND((M970*J966+1.3*M970*N966+S970*G966),4)</f>
        <v>1.95</v>
      </c>
      <c r="Z970" s="49">
        <f>ROUND((P966*T970*F966*O966/1000000),4)</f>
        <v>2.0999999999999999E-3</v>
      </c>
      <c r="AA970" s="49">
        <f>ROUND((Q966*U970*F966*O966/1000000),4)</f>
        <v>6.9999999999999999E-4</v>
      </c>
      <c r="AB970" s="49">
        <f>ROUND((R966*V970*F966*O966/1000000),4)</f>
        <v>0</v>
      </c>
      <c r="AC970" s="50" t="s">
        <v>250</v>
      </c>
      <c r="AD970" s="51" t="s">
        <v>208</v>
      </c>
      <c r="AE970" s="44">
        <f>ROUND((((X970*E966)/1800)),4)</f>
        <v>1E-3</v>
      </c>
      <c r="AF970" s="44">
        <f>ROUND(((Z970+AA970+AB970)),4)</f>
        <v>2.8E-3</v>
      </c>
      <c r="AG970" s="88"/>
      <c r="AH970" s="88"/>
    </row>
    <row r="971" spans="1:34" ht="12.95" customHeight="1" x14ac:dyDescent="0.25">
      <c r="A971" s="52"/>
      <c r="B971" s="62"/>
      <c r="C971" s="56"/>
      <c r="D971" s="56"/>
      <c r="E971" s="56"/>
      <c r="F971" s="66"/>
      <c r="G971" s="56"/>
      <c r="H971" s="56"/>
      <c r="I971" s="56"/>
      <c r="J971" s="56"/>
      <c r="K971" s="56"/>
      <c r="L971" s="59">
        <v>3.5999999999999997E-2</v>
      </c>
      <c r="M971" s="59">
        <v>4.3999999999999997E-2</v>
      </c>
      <c r="N971" s="56"/>
      <c r="O971" s="56"/>
      <c r="P971" s="56"/>
      <c r="Q971" s="56"/>
      <c r="R971" s="56"/>
      <c r="S971" s="61">
        <v>0.45</v>
      </c>
      <c r="T971" s="48">
        <f>ROUND((L971*I966+1.3*L971*K966+S971*H966),4)</f>
        <v>39.122999999999998</v>
      </c>
      <c r="U971" s="48">
        <f>ROUND((M971*0.9*I966+1.3*M971*0.9*K966+S971*H966),4)</f>
        <v>40.335299999999997</v>
      </c>
      <c r="V971" s="48">
        <f>ROUND((M971*I966+1.3*M971*K966+S971*H966),4)</f>
        <v>41.817</v>
      </c>
      <c r="W971" s="48">
        <f>ROUND((L971*J966+1.3*L971*N966+S971*G966),4)</f>
        <v>3.6720000000000002</v>
      </c>
      <c r="X971" s="48">
        <f>ROUND((M971*0.9*J966+1.3*M971*0.9*N966+S971*G966),4)</f>
        <v>3.7692000000000001</v>
      </c>
      <c r="Y971" s="48">
        <f>ROUND((M971*J966+1.3*M971*N966+S971*G966),4)</f>
        <v>3.8879999999999999</v>
      </c>
      <c r="Z971" s="49">
        <f>ROUND((P966*T971*F966*O966/1000000),4)</f>
        <v>4.7000000000000002E-3</v>
      </c>
      <c r="AA971" s="49">
        <f>ROUND((Q966*U971*F966*O966/1000000),4)</f>
        <v>1.1999999999999999E-3</v>
      </c>
      <c r="AB971" s="49">
        <f>ROUND((R966*V971*F966*O966/1000000),4)</f>
        <v>0</v>
      </c>
      <c r="AC971" s="50" t="s">
        <v>170</v>
      </c>
      <c r="AD971" s="51" t="s">
        <v>162</v>
      </c>
      <c r="AE971" s="44">
        <f>ROUND((((X971*E966)/1800)),4)</f>
        <v>2.0999999999999999E-3</v>
      </c>
      <c r="AF971" s="44">
        <f>ROUND(((Z971+AA971+AB971)),4)</f>
        <v>5.8999999999999999E-3</v>
      </c>
      <c r="AG971" s="88"/>
      <c r="AH971" s="88"/>
    </row>
    <row r="972" spans="1:34" ht="12.95" customHeight="1" x14ac:dyDescent="0.25">
      <c r="A972" s="89"/>
      <c r="B972" s="46" t="s">
        <v>231</v>
      </c>
      <c r="C972" s="46">
        <v>6</v>
      </c>
      <c r="D972" s="45" t="s">
        <v>210</v>
      </c>
      <c r="E972" s="45">
        <v>1</v>
      </c>
      <c r="F972" s="45">
        <v>1</v>
      </c>
      <c r="G972" s="45">
        <v>6</v>
      </c>
      <c r="H972" s="45">
        <v>60</v>
      </c>
      <c r="I972" s="45">
        <f>(8-1-0.75*2)*60*F972-K972-8*0.12*60</f>
        <v>57.900000000000006</v>
      </c>
      <c r="J972" s="45">
        <v>14</v>
      </c>
      <c r="K972" s="45">
        <f>(8-1-0.75*2)*0.65*60*F972</f>
        <v>214.5</v>
      </c>
      <c r="L972" s="48">
        <v>6.47</v>
      </c>
      <c r="M972" s="48">
        <v>6.47</v>
      </c>
      <c r="N972" s="45">
        <v>10</v>
      </c>
      <c r="O972" s="45">
        <f>E972/F972</f>
        <v>1</v>
      </c>
      <c r="P972" s="45">
        <v>10</v>
      </c>
      <c r="Q972" s="45">
        <v>0</v>
      </c>
      <c r="R972" s="47">
        <v>0</v>
      </c>
      <c r="S972" s="47">
        <v>1.27</v>
      </c>
      <c r="T972" s="48">
        <f>ROUND((L972*I972+1.3*L972*K972+S972*H972),4)</f>
        <v>2254.9724999999999</v>
      </c>
      <c r="U972" s="48">
        <f>ROUND((M972*I972+1.3*M972*K972+S972*H972),4)</f>
        <v>2254.9724999999999</v>
      </c>
      <c r="V972" s="48">
        <f>ROUND((M972*I972+1.3*M972*K972+S972*H972),4)</f>
        <v>2254.9724999999999</v>
      </c>
      <c r="W972" s="48">
        <f>ROUND((L972*J972+1.3*L972*N972+S972*G972),4)</f>
        <v>182.31</v>
      </c>
      <c r="X972" s="48">
        <f>ROUND((M972*J972+1.3*M972*N972+S972*G972),4)</f>
        <v>182.31</v>
      </c>
      <c r="Y972" s="48">
        <f>ROUND((M972*J972+1.3*M972*N972+S972*G972),4)</f>
        <v>182.31</v>
      </c>
      <c r="Z972" s="49">
        <f>ROUND((P972*T972*F972*O972/1000000),4)</f>
        <v>2.2499999999999999E-2</v>
      </c>
      <c r="AA972" s="49">
        <f>ROUND((Q972*U972*F972*O972/1000000),4)</f>
        <v>0</v>
      </c>
      <c r="AB972" s="49">
        <f>ROUND((R972*V972*F972*O972/1000000),4)</f>
        <v>0</v>
      </c>
      <c r="AC972" s="50" t="s">
        <v>200</v>
      </c>
      <c r="AD972" s="51" t="s">
        <v>153</v>
      </c>
      <c r="AE972" s="44">
        <f>ROUND((((X972*E972)/1800)*0.8),4)</f>
        <v>8.1000000000000003E-2</v>
      </c>
      <c r="AF972" s="44">
        <f>ROUND(((Z972+AA972+AB972)*0.8),4)</f>
        <v>1.7999999999999999E-2</v>
      </c>
    </row>
    <row r="973" spans="1:34" ht="12.95" customHeight="1" x14ac:dyDescent="0.25">
      <c r="A973" s="89"/>
      <c r="B973" s="53" t="s">
        <v>232</v>
      </c>
      <c r="C973" s="52"/>
      <c r="D973" s="52"/>
      <c r="E973" s="52"/>
      <c r="F973" s="63"/>
      <c r="G973" s="52"/>
      <c r="H973" s="52"/>
      <c r="I973" s="52"/>
      <c r="J973" s="52"/>
      <c r="K973" s="52"/>
      <c r="L973" s="56"/>
      <c r="M973" s="56"/>
      <c r="N973" s="52"/>
      <c r="O973" s="52"/>
      <c r="P973" s="52"/>
      <c r="Q973" s="52"/>
      <c r="R973" s="52"/>
      <c r="S973" s="57"/>
      <c r="T973" s="54"/>
      <c r="U973" s="54"/>
      <c r="V973" s="54"/>
      <c r="W973" s="54"/>
      <c r="X973" s="54"/>
      <c r="Y973" s="54"/>
      <c r="Z973" s="54"/>
      <c r="AA973" s="54"/>
      <c r="AB973" s="54"/>
      <c r="AC973" s="50" t="s">
        <v>201</v>
      </c>
      <c r="AD973" s="51" t="s">
        <v>202</v>
      </c>
      <c r="AE973" s="44">
        <f>ROUND((((X972*E972)/1800)*0.13),4)</f>
        <v>1.32E-2</v>
      </c>
      <c r="AF973" s="44">
        <f>ROUND(((Z972+AA972+AB972)*0.13),4)</f>
        <v>2.8999999999999998E-3</v>
      </c>
    </row>
    <row r="974" spans="1:34" ht="12.95" customHeight="1" x14ac:dyDescent="0.25">
      <c r="A974" s="89"/>
      <c r="B974" s="67"/>
      <c r="C974" s="55"/>
      <c r="D974" s="55"/>
      <c r="E974" s="52"/>
      <c r="F974" s="63"/>
      <c r="G974" s="52"/>
      <c r="H974" s="52"/>
      <c r="I974" s="52"/>
      <c r="J974" s="52"/>
      <c r="K974" s="52"/>
      <c r="L974" s="59">
        <v>0.51</v>
      </c>
      <c r="M974" s="59">
        <v>0.63</v>
      </c>
      <c r="N974" s="52"/>
      <c r="O974" s="52"/>
      <c r="P974" s="52"/>
      <c r="Q974" s="52"/>
      <c r="R974" s="52"/>
      <c r="S974" s="60">
        <v>0.25</v>
      </c>
      <c r="T974" s="48">
        <f>ROUND((L974*I972+1.3*L974*K972+S974*H972),4)</f>
        <v>186.74250000000001</v>
      </c>
      <c r="U974" s="48">
        <f>ROUND((M974*0.9*I972+1.3*M974*0.9*K972+S974*H972),4)</f>
        <v>205.93729999999999</v>
      </c>
      <c r="V974" s="48">
        <f>ROUND((M974*I972+1.3*M974*K972+S974*H972),4)</f>
        <v>227.1525</v>
      </c>
      <c r="W974" s="48">
        <f>ROUND((L974*J972+1.3*L974*N972+S974*G972),4)</f>
        <v>15.27</v>
      </c>
      <c r="X974" s="48">
        <f>ROUND((M974*0.9*J972+1.3*M974*0.9*N972+S974*G972),4)</f>
        <v>16.809000000000001</v>
      </c>
      <c r="Y974" s="48">
        <f>ROUND((M974*J972+1.3*M974*N972+S974*G972),4)</f>
        <v>18.510000000000002</v>
      </c>
      <c r="Z974" s="49">
        <f>ROUND((P972*T974*F972*O972/1000000),4)</f>
        <v>1.9E-3</v>
      </c>
      <c r="AA974" s="49">
        <f>ROUND((Q972*U974*F972*O972/1000000),4)</f>
        <v>0</v>
      </c>
      <c r="AB974" s="49">
        <f>ROUND((R972*V974*F972*O972/1000000),4)</f>
        <v>0</v>
      </c>
      <c r="AC974" s="50" t="s">
        <v>203</v>
      </c>
      <c r="AD974" s="51" t="s">
        <v>204</v>
      </c>
      <c r="AE974" s="44">
        <f>ROUND((((X974*E972)/1800)),4)</f>
        <v>9.2999999999999992E-3</v>
      </c>
      <c r="AF974" s="44">
        <f>ROUND(((Z974+AA974+AB974)),5)</f>
        <v>1.9E-3</v>
      </c>
    </row>
    <row r="975" spans="1:34" ht="12.95" customHeight="1" x14ac:dyDescent="0.25">
      <c r="A975" s="89"/>
      <c r="B975" s="53"/>
      <c r="C975" s="52"/>
      <c r="D975" s="52"/>
      <c r="E975" s="52"/>
      <c r="F975" s="63"/>
      <c r="G975" s="52"/>
      <c r="H975" s="52"/>
      <c r="I975" s="52"/>
      <c r="J975" s="52"/>
      <c r="K975" s="52"/>
      <c r="L975" s="59">
        <v>1.1399999999999999</v>
      </c>
      <c r="M975" s="59">
        <v>1.37</v>
      </c>
      <c r="N975" s="52"/>
      <c r="O975" s="52"/>
      <c r="P975" s="52"/>
      <c r="Q975" s="52"/>
      <c r="R975" s="52"/>
      <c r="S975" s="61">
        <v>0.79</v>
      </c>
      <c r="T975" s="48">
        <f>ROUND((L975*I972+1.3*L975*K972+S975*H972),4)</f>
        <v>431.29500000000002</v>
      </c>
      <c r="U975" s="48">
        <f>ROUND((M975*0.9*I972+1.3*M975*0.9*K972+S975*H972),4)</f>
        <v>462.61279999999999</v>
      </c>
      <c r="V975" s="48">
        <f>ROUND((M975*I972+1.3*M975*K972+S975*H972),4)</f>
        <v>508.7475</v>
      </c>
      <c r="W975" s="48">
        <f>ROUND((L975*J972+1.3*L975*N972+S975*G972),4)</f>
        <v>35.520000000000003</v>
      </c>
      <c r="X975" s="48">
        <f>ROUND((M975*0.9*J972+1.3*M975*0.9*N972+S975*G972),4)</f>
        <v>38.030999999999999</v>
      </c>
      <c r="Y975" s="48">
        <f>ROUND((M975*J972+1.3*N972+S975*G972),4)</f>
        <v>36.92</v>
      </c>
      <c r="Z975" s="49">
        <f>ROUND((P972*T975*F972*O972/1000000),4)</f>
        <v>4.3E-3</v>
      </c>
      <c r="AA975" s="49">
        <f>ROUND((Q972*U975*F972*O972/1000000),4)</f>
        <v>0</v>
      </c>
      <c r="AB975" s="49">
        <f>ROUND((R972*V975*F972*O972/1000000),4)</f>
        <v>0</v>
      </c>
      <c r="AC975" s="50" t="s">
        <v>205</v>
      </c>
      <c r="AD975" s="51" t="s">
        <v>206</v>
      </c>
      <c r="AE975" s="44">
        <f>ROUND((((X975*E972)/1800)),4)</f>
        <v>2.1100000000000001E-2</v>
      </c>
      <c r="AF975" s="44">
        <f>ROUND(((Z975+AA975+AB975)),4)</f>
        <v>4.3E-3</v>
      </c>
    </row>
    <row r="976" spans="1:34" ht="12.95" customHeight="1" x14ac:dyDescent="0.25">
      <c r="A976" s="89"/>
      <c r="B976" s="53"/>
      <c r="C976" s="52"/>
      <c r="D976" s="52"/>
      <c r="E976" s="52"/>
      <c r="F976" s="63"/>
      <c r="G976" s="52"/>
      <c r="H976" s="52"/>
      <c r="I976" s="52"/>
      <c r="J976" s="52"/>
      <c r="K976" s="52"/>
      <c r="L976" s="59">
        <v>0.72</v>
      </c>
      <c r="M976" s="59">
        <v>1.08</v>
      </c>
      <c r="N976" s="52"/>
      <c r="O976" s="52"/>
      <c r="P976" s="52"/>
      <c r="Q976" s="52"/>
      <c r="R976" s="52"/>
      <c r="S976" s="61">
        <v>0.17</v>
      </c>
      <c r="T976" s="48">
        <f>ROUND((L976*I972+1.3*L976*K972+S976*H972),4)</f>
        <v>252.66</v>
      </c>
      <c r="U976" s="48">
        <f>ROUND((M976*0.9*I972+1.3*M976*0.9*K972+S976*H972),4)</f>
        <v>337.52100000000002</v>
      </c>
      <c r="V976" s="48">
        <f>ROUND((M976*I972+1.3*M976*K972+S976*H972),4)</f>
        <v>373.89</v>
      </c>
      <c r="W976" s="48">
        <f>ROUND((L976*J972+1.3*L976*N972+S976*G972),4)</f>
        <v>20.46</v>
      </c>
      <c r="X976" s="48">
        <f>ROUND((M976*0.9*J972+1.3*M976*0.9*N972+S976*G972),4)</f>
        <v>27.263999999999999</v>
      </c>
      <c r="Y976" s="48">
        <f>ROUND((M976*J972+1.3*M976*N972+S976*G972),4)</f>
        <v>30.18</v>
      </c>
      <c r="Z976" s="49">
        <f>ROUND((P972*T976*F972*O972/1000000),4)</f>
        <v>2.5000000000000001E-3</v>
      </c>
      <c r="AA976" s="49">
        <f>ROUND((Q972*U976*F972*O972/1000000),4)</f>
        <v>0</v>
      </c>
      <c r="AB976" s="49">
        <f>ROUND((R972*V976*F972*O972/1000000),4)</f>
        <v>0</v>
      </c>
      <c r="AC976" s="50" t="s">
        <v>250</v>
      </c>
      <c r="AD976" s="51" t="s">
        <v>208</v>
      </c>
      <c r="AE976" s="44">
        <f>ROUND((((X976*E972)/1800)),4)</f>
        <v>1.5100000000000001E-2</v>
      </c>
      <c r="AF976" s="44">
        <f>ROUND(((Z976+AA976+AB976)),4)</f>
        <v>2.5000000000000001E-3</v>
      </c>
    </row>
    <row r="977" spans="1:32" ht="12.95" customHeight="1" x14ac:dyDescent="0.25">
      <c r="A977" s="89"/>
      <c r="B977" s="62"/>
      <c r="C977" s="56"/>
      <c r="D977" s="56"/>
      <c r="E977" s="56"/>
      <c r="F977" s="66"/>
      <c r="G977" s="56"/>
      <c r="H977" s="56"/>
      <c r="I977" s="56"/>
      <c r="J977" s="56"/>
      <c r="K977" s="56"/>
      <c r="L977" s="59">
        <v>3.37</v>
      </c>
      <c r="M977" s="59">
        <v>4.1100000000000003</v>
      </c>
      <c r="N977" s="56"/>
      <c r="O977" s="56"/>
      <c r="P977" s="56"/>
      <c r="Q977" s="56"/>
      <c r="R977" s="56"/>
      <c r="S977" s="61">
        <v>6.31</v>
      </c>
      <c r="T977" s="48">
        <f>ROUND((L977*I972+1.3*L977*K972+S977*H972),4)</f>
        <v>1513.4475</v>
      </c>
      <c r="U977" s="48">
        <f>ROUND((M977*0.9*I972+1.3*M977*0.9*K972+S977*H972),4)</f>
        <v>1624.2383</v>
      </c>
      <c r="V977" s="48">
        <f>ROUND((M977*I972+1.3*M977*K972+S977*H972),4)</f>
        <v>1762.6424999999999</v>
      </c>
      <c r="W977" s="48">
        <f>ROUND((L977*J972+1.3*L977*N972+S977*G972),4)</f>
        <v>128.85</v>
      </c>
      <c r="X977" s="48">
        <f>ROUND((M977*0.9*J972+1.3*M977*0.9*N972+S977*G972),4)</f>
        <v>137.733</v>
      </c>
      <c r="Y977" s="48">
        <f>ROUND((M977*J972+1.3*M977*N972+S977*G972),4)</f>
        <v>148.83000000000001</v>
      </c>
      <c r="Z977" s="49">
        <f>ROUND((P972*T977*F972*O972/1000000),4)</f>
        <v>1.5100000000000001E-2</v>
      </c>
      <c r="AA977" s="49">
        <f>ROUND((Q972*U977*F972*O972/1000000),4)</f>
        <v>0</v>
      </c>
      <c r="AB977" s="49">
        <f>ROUND((R972*V977*F972*O972/1000000),4)</f>
        <v>0</v>
      </c>
      <c r="AC977" s="50" t="s">
        <v>170</v>
      </c>
      <c r="AD977" s="51" t="s">
        <v>162</v>
      </c>
      <c r="AE977" s="44">
        <f>ROUND((((X977*E972)/1800)),4)</f>
        <v>7.6499999999999999E-2</v>
      </c>
      <c r="AF977" s="44">
        <f>ROUND(((Z977+AA977+AB977)),4)</f>
        <v>1.5100000000000001E-2</v>
      </c>
    </row>
    <row r="978" spans="1:32" ht="12.95" customHeight="1" x14ac:dyDescent="0.25">
      <c r="A978" s="89"/>
      <c r="B978" s="46" t="s">
        <v>234</v>
      </c>
      <c r="C978" s="46">
        <v>6</v>
      </c>
      <c r="D978" s="45" t="s">
        <v>210</v>
      </c>
      <c r="E978" s="45">
        <v>1</v>
      </c>
      <c r="F978" s="45">
        <v>1</v>
      </c>
      <c r="G978" s="45">
        <v>6</v>
      </c>
      <c r="H978" s="45">
        <v>60</v>
      </c>
      <c r="I978" s="45">
        <f>(8-1-0.75*2)*60*F978-K978-8*0.12*60</f>
        <v>57.900000000000006</v>
      </c>
      <c r="J978" s="45">
        <v>14</v>
      </c>
      <c r="K978" s="45">
        <f>(8-1-0.75*2)*0.65*60*F978</f>
        <v>214.5</v>
      </c>
      <c r="L978" s="48">
        <v>6.47</v>
      </c>
      <c r="M978" s="48">
        <v>6.47</v>
      </c>
      <c r="N978" s="45">
        <v>10</v>
      </c>
      <c r="O978" s="45">
        <f>E978/F978</f>
        <v>1</v>
      </c>
      <c r="P978" s="45">
        <v>30</v>
      </c>
      <c r="Q978" s="45">
        <v>0</v>
      </c>
      <c r="R978" s="47">
        <v>0</v>
      </c>
      <c r="S978" s="47">
        <v>1.27</v>
      </c>
      <c r="T978" s="48">
        <f>ROUND((L978*I978+1.3*L978*K978+S978*H978),4)</f>
        <v>2254.9724999999999</v>
      </c>
      <c r="U978" s="48">
        <f>ROUND((M978*I978+1.3*M978*K978+S978*H978),4)</f>
        <v>2254.9724999999999</v>
      </c>
      <c r="V978" s="48">
        <f>ROUND((M978*I978+1.3*M978*K978+S978*H978),4)</f>
        <v>2254.9724999999999</v>
      </c>
      <c r="W978" s="48">
        <f>ROUND((L978*J978+1.3*L978*N978+S978*G978),4)</f>
        <v>182.31</v>
      </c>
      <c r="X978" s="48">
        <f>ROUND((M978*J978+1.3*M978*N978+S978*G978),4)</f>
        <v>182.31</v>
      </c>
      <c r="Y978" s="48">
        <f>ROUND((M978*J978+1.3*M978*N978+S978*G978),4)</f>
        <v>182.31</v>
      </c>
      <c r="Z978" s="49">
        <f>ROUND((P978*T978*F978*O978/1000000),4)</f>
        <v>6.7599999999999993E-2</v>
      </c>
      <c r="AA978" s="49">
        <f>ROUND((Q978*U978*F978*O978/1000000),4)</f>
        <v>0</v>
      </c>
      <c r="AB978" s="49">
        <f>ROUND((R978*V978*F978*O978/1000000),4)</f>
        <v>0</v>
      </c>
      <c r="AC978" s="50" t="s">
        <v>200</v>
      </c>
      <c r="AD978" s="51" t="s">
        <v>153</v>
      </c>
      <c r="AE978" s="44">
        <f>ROUND((((X978*E978)/1800)*0.8),4)</f>
        <v>8.1000000000000003E-2</v>
      </c>
      <c r="AF978" s="44">
        <f>ROUND(((Z978+AA978+AB978)*0.8),4)</f>
        <v>5.4100000000000002E-2</v>
      </c>
    </row>
    <row r="979" spans="1:32" ht="12.95" customHeight="1" x14ac:dyDescent="0.25">
      <c r="A979" s="89"/>
      <c r="B979" s="53" t="s">
        <v>235</v>
      </c>
      <c r="C979" s="52"/>
      <c r="D979" s="52"/>
      <c r="E979" s="52"/>
      <c r="F979" s="63"/>
      <c r="G979" s="52"/>
      <c r="H979" s="52"/>
      <c r="I979" s="52"/>
      <c r="J979" s="52"/>
      <c r="K979" s="52"/>
      <c r="L979" s="56"/>
      <c r="M979" s="56"/>
      <c r="N979" s="52"/>
      <c r="O979" s="52"/>
      <c r="P979" s="52"/>
      <c r="Q979" s="52"/>
      <c r="R979" s="52"/>
      <c r="S979" s="57"/>
      <c r="T979" s="54"/>
      <c r="U979" s="54"/>
      <c r="V979" s="54"/>
      <c r="W979" s="54"/>
      <c r="X979" s="54"/>
      <c r="Y979" s="54"/>
      <c r="Z979" s="54"/>
      <c r="AA979" s="54"/>
      <c r="AB979" s="54"/>
      <c r="AC979" s="50" t="s">
        <v>201</v>
      </c>
      <c r="AD979" s="51" t="s">
        <v>202</v>
      </c>
      <c r="AE979" s="44">
        <f>ROUND((((X978*E978)/1800)*0.13),4)</f>
        <v>1.32E-2</v>
      </c>
      <c r="AF979" s="44">
        <f>ROUND(((Z978+AA978+AB978)*0.13),4)</f>
        <v>8.8000000000000005E-3</v>
      </c>
    </row>
    <row r="980" spans="1:32" ht="12.95" customHeight="1" x14ac:dyDescent="0.25">
      <c r="A980" s="89"/>
      <c r="B980" s="67"/>
      <c r="C980" s="55"/>
      <c r="D980" s="55"/>
      <c r="E980" s="52"/>
      <c r="F980" s="63"/>
      <c r="G980" s="52"/>
      <c r="H980" s="52"/>
      <c r="I980" s="52"/>
      <c r="J980" s="52"/>
      <c r="K980" s="52"/>
      <c r="L980" s="59">
        <v>0.51</v>
      </c>
      <c r="M980" s="59">
        <v>0.63</v>
      </c>
      <c r="N980" s="52"/>
      <c r="O980" s="52"/>
      <c r="P980" s="52"/>
      <c r="Q980" s="52"/>
      <c r="R980" s="52"/>
      <c r="S980" s="60">
        <v>0.25</v>
      </c>
      <c r="T980" s="48">
        <f>ROUND((L980*I978+1.3*L980*K978+S980*H978),4)</f>
        <v>186.74250000000001</v>
      </c>
      <c r="U980" s="48">
        <f>ROUND((M980*0.9*I978+1.3*M980*0.9*K978+S980*H978),4)</f>
        <v>205.93729999999999</v>
      </c>
      <c r="V980" s="48">
        <f>ROUND((M980*I978+1.3*M980*K978+S980*H978),4)</f>
        <v>227.1525</v>
      </c>
      <c r="W980" s="48">
        <f>ROUND((L980*J978+1.3*L980*N978+S980*G978),4)</f>
        <v>15.27</v>
      </c>
      <c r="X980" s="48">
        <f>ROUND((M980*0.9*J978+1.3*M980*0.9*N978+S980*G978),4)</f>
        <v>16.809000000000001</v>
      </c>
      <c r="Y980" s="48">
        <f>ROUND((M980*J978+1.3*M980*N978+S980*G978),4)</f>
        <v>18.510000000000002</v>
      </c>
      <c r="Z980" s="49">
        <f>ROUND((P978*T980*F978*O978/1000000),4)</f>
        <v>5.5999999999999999E-3</v>
      </c>
      <c r="AA980" s="49">
        <f>ROUND((Q978*U980*F978*O978/1000000),4)</f>
        <v>0</v>
      </c>
      <c r="AB980" s="49">
        <f>ROUND((R978*V980*F978*O978/1000000),4)</f>
        <v>0</v>
      </c>
      <c r="AC980" s="50" t="s">
        <v>203</v>
      </c>
      <c r="AD980" s="51" t="s">
        <v>204</v>
      </c>
      <c r="AE980" s="44">
        <f>ROUND((((X980*E978)/1800)),4)</f>
        <v>9.2999999999999992E-3</v>
      </c>
      <c r="AF980" s="44">
        <f>ROUND(((Z980+AA980+AB980)),5)</f>
        <v>5.5999999999999999E-3</v>
      </c>
    </row>
    <row r="981" spans="1:32" ht="12.95" customHeight="1" x14ac:dyDescent="0.25">
      <c r="A981" s="89"/>
      <c r="B981" s="53"/>
      <c r="C981" s="52"/>
      <c r="D981" s="52"/>
      <c r="E981" s="52"/>
      <c r="F981" s="63"/>
      <c r="G981" s="52"/>
      <c r="H981" s="52"/>
      <c r="I981" s="52"/>
      <c r="J981" s="52"/>
      <c r="K981" s="52"/>
      <c r="L981" s="59">
        <v>1.1399999999999999</v>
      </c>
      <c r="M981" s="59">
        <v>1.37</v>
      </c>
      <c r="N981" s="52"/>
      <c r="O981" s="52"/>
      <c r="P981" s="52"/>
      <c r="Q981" s="52"/>
      <c r="R981" s="52"/>
      <c r="S981" s="61">
        <v>0.79</v>
      </c>
      <c r="T981" s="48">
        <f>ROUND((L981*I978+1.3*L981*K978+S981*H978),4)</f>
        <v>431.29500000000002</v>
      </c>
      <c r="U981" s="48">
        <f>ROUND((M981*0.9*I978+1.3*M981*0.9*K978+S981*H978),4)</f>
        <v>462.61279999999999</v>
      </c>
      <c r="V981" s="48">
        <f>ROUND((M981*I978+1.3*M981*K978+S981*H978),4)</f>
        <v>508.7475</v>
      </c>
      <c r="W981" s="48">
        <f>ROUND((L981*J978+1.3*L981*N978+S981*G978),4)</f>
        <v>35.520000000000003</v>
      </c>
      <c r="X981" s="48">
        <f>ROUND((M981*0.9*J978+1.3*M981*0.9*N978+S981*G978),4)</f>
        <v>38.030999999999999</v>
      </c>
      <c r="Y981" s="48">
        <f>ROUND((M981*J978+1.3*N978+S981*G978),4)</f>
        <v>36.92</v>
      </c>
      <c r="Z981" s="49">
        <f>ROUND((P978*T981*F978*O978/1000000),4)</f>
        <v>1.29E-2</v>
      </c>
      <c r="AA981" s="49">
        <f>ROUND((Q978*U981*F978*O978/1000000),4)</f>
        <v>0</v>
      </c>
      <c r="AB981" s="49">
        <f>ROUND((R978*V981*F978*O978/1000000),4)</f>
        <v>0</v>
      </c>
      <c r="AC981" s="50" t="s">
        <v>205</v>
      </c>
      <c r="AD981" s="51" t="s">
        <v>206</v>
      </c>
      <c r="AE981" s="44">
        <f>ROUND((((X981*E978)/1800)),4)</f>
        <v>2.1100000000000001E-2</v>
      </c>
      <c r="AF981" s="44">
        <f>ROUND(((Z981+AA981+AB981)),4)</f>
        <v>1.29E-2</v>
      </c>
    </row>
    <row r="982" spans="1:32" ht="12.95" customHeight="1" x14ac:dyDescent="0.25">
      <c r="A982" s="89"/>
      <c r="B982" s="53"/>
      <c r="C982" s="52"/>
      <c r="D982" s="52"/>
      <c r="E982" s="52"/>
      <c r="F982" s="63"/>
      <c r="G982" s="52"/>
      <c r="H982" s="52"/>
      <c r="I982" s="52"/>
      <c r="J982" s="52"/>
      <c r="K982" s="52"/>
      <c r="L982" s="59">
        <v>0.72</v>
      </c>
      <c r="M982" s="59">
        <v>1.08</v>
      </c>
      <c r="N982" s="52"/>
      <c r="O982" s="52"/>
      <c r="P982" s="52"/>
      <c r="Q982" s="52"/>
      <c r="R982" s="52"/>
      <c r="S982" s="61">
        <v>0.17</v>
      </c>
      <c r="T982" s="48">
        <f>ROUND((L982*I978+1.3*L982*K978+S982*H978),4)</f>
        <v>252.66</v>
      </c>
      <c r="U982" s="48">
        <f>ROUND((M982*0.9*I978+1.3*M982*0.9*K978+S982*H978),4)</f>
        <v>337.52100000000002</v>
      </c>
      <c r="V982" s="48">
        <f>ROUND((M982*I978+1.3*M982*K978+S982*H978),4)</f>
        <v>373.89</v>
      </c>
      <c r="W982" s="48">
        <f>ROUND((L982*J978+1.3*L982*N978+S982*G978),4)</f>
        <v>20.46</v>
      </c>
      <c r="X982" s="48">
        <f>ROUND((M982*0.9*J978+1.3*M982*0.9*N978+S982*G978),4)</f>
        <v>27.263999999999999</v>
      </c>
      <c r="Y982" s="48">
        <f>ROUND((M982*J978+1.3*M982*N978+S982*G978),4)</f>
        <v>30.18</v>
      </c>
      <c r="Z982" s="49">
        <f>ROUND((P978*T982*F978*O978/1000000),4)</f>
        <v>7.6E-3</v>
      </c>
      <c r="AA982" s="49">
        <f>ROUND((Q978*U982*F978*O978/1000000),4)</f>
        <v>0</v>
      </c>
      <c r="AB982" s="49">
        <f>ROUND((R978*V982*F978*O978/1000000),4)</f>
        <v>0</v>
      </c>
      <c r="AC982" s="50" t="s">
        <v>250</v>
      </c>
      <c r="AD982" s="51" t="s">
        <v>208</v>
      </c>
      <c r="AE982" s="44">
        <f>ROUND((((X982*E978)/1800)),4)</f>
        <v>1.5100000000000001E-2</v>
      </c>
      <c r="AF982" s="44">
        <f>ROUND(((Z982+AA982+AB982)),4)</f>
        <v>7.6E-3</v>
      </c>
    </row>
    <row r="983" spans="1:32" ht="12.95" customHeight="1" x14ac:dyDescent="0.25">
      <c r="A983" s="89"/>
      <c r="B983" s="62"/>
      <c r="C983" s="56"/>
      <c r="D983" s="56"/>
      <c r="E983" s="56"/>
      <c r="F983" s="66"/>
      <c r="G983" s="56"/>
      <c r="H983" s="56"/>
      <c r="I983" s="56"/>
      <c r="J983" s="56"/>
      <c r="K983" s="56"/>
      <c r="L983" s="59">
        <v>3.37</v>
      </c>
      <c r="M983" s="59">
        <v>4.1100000000000003</v>
      </c>
      <c r="N983" s="56"/>
      <c r="O983" s="56"/>
      <c r="P983" s="56"/>
      <c r="Q983" s="56"/>
      <c r="R983" s="56"/>
      <c r="S983" s="61">
        <v>6.31</v>
      </c>
      <c r="T983" s="48">
        <f>ROUND((L983*I978+1.3*L983*K978+S983*H978),4)</f>
        <v>1513.4475</v>
      </c>
      <c r="U983" s="48">
        <f>ROUND((M983*0.9*I978+1.3*M983*0.9*K978+S983*H978),4)</f>
        <v>1624.2383</v>
      </c>
      <c r="V983" s="48">
        <f>ROUND((M983*I978+1.3*M983*K978+S983*H978),4)</f>
        <v>1762.6424999999999</v>
      </c>
      <c r="W983" s="48">
        <f>ROUND((L983*J978+1.3*L983*N978+S983*G978),4)</f>
        <v>128.85</v>
      </c>
      <c r="X983" s="48">
        <f>ROUND((M983*0.9*J978+1.3*M983*0.9*N978+S983*G978),4)</f>
        <v>137.733</v>
      </c>
      <c r="Y983" s="48">
        <f>ROUND((M983*J978+1.3*M983*N978+S983*G978),4)</f>
        <v>148.83000000000001</v>
      </c>
      <c r="Z983" s="49">
        <f>ROUND((P978*T983*F978*O978/1000000),4)</f>
        <v>4.5400000000000003E-2</v>
      </c>
      <c r="AA983" s="49">
        <f>ROUND((Q978*U983*F978*O978/1000000),4)</f>
        <v>0</v>
      </c>
      <c r="AB983" s="49">
        <f>ROUND((R978*V983*F978*O978/1000000),4)</f>
        <v>0</v>
      </c>
      <c r="AC983" s="50" t="s">
        <v>170</v>
      </c>
      <c r="AD983" s="51" t="s">
        <v>162</v>
      </c>
      <c r="AE983" s="44">
        <f>ROUND((((X983*E978)/1800)),4)</f>
        <v>7.6499999999999999E-2</v>
      </c>
      <c r="AF983" s="44">
        <f>ROUND(((Z983+AA983+AB983)),4)</f>
        <v>4.5400000000000003E-2</v>
      </c>
    </row>
    <row r="984" spans="1:32" ht="12.95" customHeight="1" x14ac:dyDescent="0.25">
      <c r="A984" s="52"/>
      <c r="B984" s="67" t="s">
        <v>220</v>
      </c>
      <c r="C984" s="46">
        <v>7</v>
      </c>
      <c r="D984" s="45" t="s">
        <v>217</v>
      </c>
      <c r="E984" s="45">
        <v>1</v>
      </c>
      <c r="F984" s="45">
        <v>1</v>
      </c>
      <c r="G984" s="45">
        <v>6</v>
      </c>
      <c r="H984" s="45">
        <v>60</v>
      </c>
      <c r="I984" s="45">
        <f>(8-1-0.75*2)*60*F984-K984-8*0.12*60</f>
        <v>57.900000000000006</v>
      </c>
      <c r="J984" s="45">
        <v>14</v>
      </c>
      <c r="K984" s="45">
        <f>(8-1-0.75*2)*0.65*60*F984</f>
        <v>214.5</v>
      </c>
      <c r="L984" s="48">
        <v>10.16</v>
      </c>
      <c r="M984" s="48">
        <v>10.16</v>
      </c>
      <c r="N984" s="45">
        <v>10</v>
      </c>
      <c r="O984" s="45">
        <f>E984/F984</f>
        <v>1</v>
      </c>
      <c r="P984" s="45">
        <v>30</v>
      </c>
      <c r="Q984" s="45">
        <v>30</v>
      </c>
      <c r="R984" s="47">
        <v>0</v>
      </c>
      <c r="S984" s="47">
        <v>1.99</v>
      </c>
      <c r="T984" s="48">
        <f>ROUND((L984*I984+1.3*L984*K984+S984*H984),4)</f>
        <v>3540.78</v>
      </c>
      <c r="U984" s="48">
        <f>ROUND((M984*I984+1.3*M984*K984+S984*H984),4)</f>
        <v>3540.78</v>
      </c>
      <c r="V984" s="48">
        <f>ROUND((M984*I984+1.3*M984*K984+S984*H984),4)</f>
        <v>3540.78</v>
      </c>
      <c r="W984" s="48">
        <f>ROUND((L984*J984+1.3*L984*N984+S984*G984),4)</f>
        <v>286.26</v>
      </c>
      <c r="X984" s="48">
        <f>ROUND((M984*J984+1.3*M984*N984+S984*G984),4)</f>
        <v>286.26</v>
      </c>
      <c r="Y984" s="48">
        <f>ROUND((M984*J984+1.3*M984*N984+S984*G984),4)</f>
        <v>286.26</v>
      </c>
      <c r="Z984" s="49">
        <f>ROUND((P984*T984*F984*O984/1000000),4)</f>
        <v>0.1062</v>
      </c>
      <c r="AA984" s="49">
        <f>ROUND((Q984*U984*F984*O984/1000000),4)</f>
        <v>0.1062</v>
      </c>
      <c r="AB984" s="49">
        <f>ROUND((R984*V984*F984*O984/1000000),4)</f>
        <v>0</v>
      </c>
      <c r="AC984" s="50" t="s">
        <v>200</v>
      </c>
      <c r="AD984" s="51" t="s">
        <v>153</v>
      </c>
      <c r="AE984" s="44">
        <f>ROUND((((X984*E984)/1800)*0.8),4)</f>
        <v>0.12720000000000001</v>
      </c>
      <c r="AF984" s="44">
        <f>ROUND(((Z984+AA984+AB984)*0.8),4)</f>
        <v>0.1699</v>
      </c>
    </row>
    <row r="985" spans="1:32" ht="12.95" customHeight="1" x14ac:dyDescent="0.25">
      <c r="A985" s="52"/>
      <c r="B985" s="53" t="s">
        <v>221</v>
      </c>
      <c r="C985" s="52"/>
      <c r="D985" s="52"/>
      <c r="E985" s="52"/>
      <c r="F985" s="52"/>
      <c r="G985" s="52"/>
      <c r="H985" s="52"/>
      <c r="I985" s="52"/>
      <c r="J985" s="52"/>
      <c r="K985" s="52"/>
      <c r="L985" s="56"/>
      <c r="M985" s="56"/>
      <c r="N985" s="52"/>
      <c r="O985" s="52"/>
      <c r="P985" s="52"/>
      <c r="Q985" s="52"/>
      <c r="R985" s="52"/>
      <c r="S985" s="57"/>
      <c r="T985" s="54"/>
      <c r="U985" s="54"/>
      <c r="V985" s="54"/>
      <c r="W985" s="54"/>
      <c r="X985" s="54"/>
      <c r="Y985" s="54"/>
      <c r="Z985" s="54"/>
      <c r="AA985" s="54"/>
      <c r="AB985" s="54"/>
      <c r="AC985" s="50" t="s">
        <v>201</v>
      </c>
      <c r="AD985" s="51" t="s">
        <v>202</v>
      </c>
      <c r="AE985" s="44">
        <f>ROUND((((X984*E984)/1800)*0.13),4)</f>
        <v>2.07E-2</v>
      </c>
      <c r="AF985" s="44">
        <f>ROUND(((Z984+AA984+AB984)*0.13),4)</f>
        <v>2.76E-2</v>
      </c>
    </row>
    <row r="986" spans="1:32" ht="12.95" customHeight="1" x14ac:dyDescent="0.25">
      <c r="A986" s="52"/>
      <c r="B986" s="88"/>
      <c r="C986" s="55"/>
      <c r="D986" s="55"/>
      <c r="E986" s="52"/>
      <c r="F986" s="52"/>
      <c r="G986" s="52"/>
      <c r="H986" s="52"/>
      <c r="I986" s="52"/>
      <c r="J986" s="52"/>
      <c r="K986" s="52"/>
      <c r="L986" s="59">
        <v>0.8</v>
      </c>
      <c r="M986" s="59">
        <v>0.98</v>
      </c>
      <c r="N986" s="52"/>
      <c r="O986" s="52"/>
      <c r="P986" s="52"/>
      <c r="Q986" s="52"/>
      <c r="R986" s="52"/>
      <c r="S986" s="60">
        <v>0.39</v>
      </c>
      <c r="T986" s="48">
        <f>ROUND((L986*I984+1.3*L986*K984+S986*H984),4)</f>
        <v>292.8</v>
      </c>
      <c r="U986" s="48">
        <f>ROUND((M986*0.9*I984+1.3*M986*0.9*K984+S986*H984),4)</f>
        <v>320.4135</v>
      </c>
      <c r="V986" s="48">
        <f>ROUND((M986*I984+1.3*M986*K984+S986*H984),4)</f>
        <v>353.41500000000002</v>
      </c>
      <c r="W986" s="48">
        <f>ROUND((L986*J984+1.3*L986*N984+S986*G984),4)</f>
        <v>23.94</v>
      </c>
      <c r="X986" s="48">
        <f>ROUND((M986*0.9*J984+1.3*M986*0.9*N984+S986*G984),4)</f>
        <v>26.154</v>
      </c>
      <c r="Y986" s="48">
        <f>ROUND((M986*J984+1.3*M986*N984+S986*G984),4)</f>
        <v>28.8</v>
      </c>
      <c r="Z986" s="49">
        <f>ROUND((P984*T986*F984*O984/1000000),4)</f>
        <v>8.8000000000000005E-3</v>
      </c>
      <c r="AA986" s="49">
        <f>ROUND((Q984*U986*F984*O984/1000000),4)</f>
        <v>9.5999999999999992E-3</v>
      </c>
      <c r="AB986" s="49">
        <f>ROUND((R984*V986*F984*O984/1000000),4)</f>
        <v>0</v>
      </c>
      <c r="AC986" s="50" t="s">
        <v>203</v>
      </c>
      <c r="AD986" s="51" t="s">
        <v>204</v>
      </c>
      <c r="AE986" s="44">
        <f>ROUND((((X986*E984)/1800)),4)</f>
        <v>1.4500000000000001E-2</v>
      </c>
      <c r="AF986" s="44">
        <f>ROUND(((Z986+AA986+AB986)),5)</f>
        <v>1.84E-2</v>
      </c>
    </row>
    <row r="987" spans="1:32" ht="12.95" customHeight="1" x14ac:dyDescent="0.25">
      <c r="A987" s="52"/>
      <c r="B987" s="88"/>
      <c r="C987" s="52"/>
      <c r="D987" s="52"/>
      <c r="E987" s="52"/>
      <c r="F987" s="52"/>
      <c r="G987" s="52"/>
      <c r="H987" s="52"/>
      <c r="I987" s="52"/>
      <c r="J987" s="52"/>
      <c r="K987" s="52"/>
      <c r="L987" s="59">
        <v>1.79</v>
      </c>
      <c r="M987" s="59">
        <v>2.15</v>
      </c>
      <c r="N987" s="52"/>
      <c r="O987" s="52"/>
      <c r="P987" s="52"/>
      <c r="Q987" s="52"/>
      <c r="R987" s="52"/>
      <c r="S987" s="61">
        <v>1.24</v>
      </c>
      <c r="T987" s="48">
        <f>ROUND((L987*I984+1.3*L987*K984+S987*H984),4)</f>
        <v>677.1825</v>
      </c>
      <c r="U987" s="48">
        <f>ROUND((M987*0.9*I984+1.3*M987*0.9*K984+S987*H984),4)</f>
        <v>726.01130000000001</v>
      </c>
      <c r="V987" s="48">
        <f>ROUND((M987*I984+1.3*M987*K984+S987*H984),4)</f>
        <v>798.41250000000002</v>
      </c>
      <c r="W987" s="48">
        <f>ROUND((L987*J984+1.3*L987*N984+S987*G984),4)</f>
        <v>55.77</v>
      </c>
      <c r="X987" s="48">
        <f>ROUND((M987*0.9*J984+1.3*M987*0.9*N984+S987*G984),4)</f>
        <v>59.685000000000002</v>
      </c>
      <c r="Y987" s="48">
        <f>ROUND((M987*J984+1.3*N984+S987*G984),4)</f>
        <v>50.54</v>
      </c>
      <c r="Z987" s="49">
        <f>ROUND((P984*T987*F984*O984/1000000),4)</f>
        <v>2.0299999999999999E-2</v>
      </c>
      <c r="AA987" s="49">
        <f>ROUND((Q984*U987*F984*O984/1000000),4)</f>
        <v>2.18E-2</v>
      </c>
      <c r="AB987" s="49">
        <f>ROUND((R984*V987*F984*O984/1000000),4)</f>
        <v>0</v>
      </c>
      <c r="AC987" s="50" t="s">
        <v>205</v>
      </c>
      <c r="AD987" s="51" t="s">
        <v>206</v>
      </c>
      <c r="AE987" s="44">
        <f>ROUND((((X987*E984)/1800)),4)</f>
        <v>3.32E-2</v>
      </c>
      <c r="AF987" s="44">
        <f>ROUND(((Z987+AA987+AB987)),4)</f>
        <v>4.2099999999999999E-2</v>
      </c>
    </row>
    <row r="988" spans="1:32" ht="12.95" customHeight="1" x14ac:dyDescent="0.25">
      <c r="A988" s="52"/>
      <c r="B988" s="53"/>
      <c r="C988" s="52"/>
      <c r="D988" s="52"/>
      <c r="E988" s="52"/>
      <c r="F988" s="52"/>
      <c r="G988" s="52"/>
      <c r="H988" s="52"/>
      <c r="I988" s="52"/>
      <c r="J988" s="52"/>
      <c r="K988" s="52"/>
      <c r="L988" s="59">
        <v>1.1299999999999999</v>
      </c>
      <c r="M988" s="59">
        <v>1.7</v>
      </c>
      <c r="N988" s="52"/>
      <c r="O988" s="52"/>
      <c r="P988" s="52"/>
      <c r="Q988" s="52"/>
      <c r="R988" s="52"/>
      <c r="S988" s="61">
        <v>0.26</v>
      </c>
      <c r="T988" s="48">
        <f>ROUND((L988*I984+1.3*L988*K984+S988*H984),4)</f>
        <v>396.1275</v>
      </c>
      <c r="U988" s="48">
        <f>ROUND((M988*0.9*I984+1.3*M988*0.9*K984+S988*H984),4)</f>
        <v>530.82749999999999</v>
      </c>
      <c r="V988" s="48">
        <f>ROUND((M988*I984+1.3*M988*K984+S988*H984),4)</f>
        <v>588.07500000000005</v>
      </c>
      <c r="W988" s="48">
        <f>ROUND((L988*J984+1.3*L988*N984+S988*G984),4)</f>
        <v>32.07</v>
      </c>
      <c r="X988" s="48">
        <f>ROUND((M988*0.9*J984+1.3*M988*0.9*N984+S988*G984),4)</f>
        <v>42.87</v>
      </c>
      <c r="Y988" s="48">
        <f>ROUND((M988*J984+1.3*M988*N984+S988*G984),4)</f>
        <v>47.46</v>
      </c>
      <c r="Z988" s="49">
        <f>ROUND((P984*T988*F984*O984/1000000),4)</f>
        <v>1.1900000000000001E-2</v>
      </c>
      <c r="AA988" s="49">
        <f>ROUND((Q984*U988*F984*O984/1000000),4)</f>
        <v>1.5900000000000001E-2</v>
      </c>
      <c r="AB988" s="49">
        <f>ROUND((R984*V988*F984*O984/1000000),4)</f>
        <v>0</v>
      </c>
      <c r="AC988" s="50" t="s">
        <v>250</v>
      </c>
      <c r="AD988" s="51" t="s">
        <v>208</v>
      </c>
      <c r="AE988" s="44">
        <f>ROUND((((X988*E984)/1800)),4)</f>
        <v>2.3800000000000002E-2</v>
      </c>
      <c r="AF988" s="44">
        <f>ROUND(((Z988+AA988+AB988)),4)</f>
        <v>2.7799999999999998E-2</v>
      </c>
    </row>
    <row r="989" spans="1:32" ht="12.95" customHeight="1" x14ac:dyDescent="0.25">
      <c r="A989" s="52"/>
      <c r="B989" s="62"/>
      <c r="C989" s="56"/>
      <c r="D989" s="56"/>
      <c r="E989" s="56"/>
      <c r="F989" s="56"/>
      <c r="G989" s="56"/>
      <c r="H989" s="56"/>
      <c r="I989" s="56"/>
      <c r="J989" s="56"/>
      <c r="K989" s="56"/>
      <c r="L989" s="59">
        <v>5.3</v>
      </c>
      <c r="M989" s="59">
        <v>6.47</v>
      </c>
      <c r="N989" s="56"/>
      <c r="O989" s="56"/>
      <c r="P989" s="56"/>
      <c r="Q989" s="56"/>
      <c r="R989" s="56"/>
      <c r="S989" s="61">
        <v>9.92</v>
      </c>
      <c r="T989" s="48">
        <f>ROUND((L989*I984+1.3*L989*K984+S989*H984),4)</f>
        <v>2379.9749999999999</v>
      </c>
      <c r="U989" s="48">
        <f>ROUND((M989*0.9*I984+1.3*M989*0.9*K984+S989*H984),4)</f>
        <v>2556.0953</v>
      </c>
      <c r="V989" s="48">
        <f>ROUND((M989*I984+1.3*M989*K984+S989*H984),4)</f>
        <v>2773.9724999999999</v>
      </c>
      <c r="W989" s="48">
        <f>ROUND((L989*J984+1.3*L989*N984+S989*G984),4)</f>
        <v>202.62</v>
      </c>
      <c r="X989" s="48">
        <f>ROUND((M989*0.9*J984+1.3*M989*0.9*N984+S989*G984),4)</f>
        <v>216.74100000000001</v>
      </c>
      <c r="Y989" s="48">
        <f>ROUND((M989*J984+1.3*M989*N984+S989*G984),4)</f>
        <v>234.21</v>
      </c>
      <c r="Z989" s="49">
        <f>ROUND((P984*T989*F984*O984/1000000),4)</f>
        <v>7.1400000000000005E-2</v>
      </c>
      <c r="AA989" s="49">
        <f>ROUND((Q984*U989*F984*O984/1000000),4)</f>
        <v>7.6700000000000004E-2</v>
      </c>
      <c r="AB989" s="49">
        <f>ROUND((R984*V989*F984*O984/1000000),4)</f>
        <v>0</v>
      </c>
      <c r="AC989" s="50" t="s">
        <v>170</v>
      </c>
      <c r="AD989" s="51" t="s">
        <v>162</v>
      </c>
      <c r="AE989" s="44">
        <f>ROUND((((X989*E984)/1800)),4)</f>
        <v>0.12039999999999999</v>
      </c>
      <c r="AF989" s="44">
        <f>ROUND(((Z989+AA989+AB989)),4)</f>
        <v>0.14810000000000001</v>
      </c>
    </row>
    <row r="990" spans="1:32" ht="12.95" customHeight="1" x14ac:dyDescent="0.25">
      <c r="A990" s="89"/>
      <c r="B990" s="46" t="s">
        <v>236</v>
      </c>
      <c r="C990" s="46">
        <v>6</v>
      </c>
      <c r="D990" s="45" t="s">
        <v>210</v>
      </c>
      <c r="E990" s="45">
        <v>1</v>
      </c>
      <c r="F990" s="45">
        <v>1</v>
      </c>
      <c r="G990" s="45">
        <v>6</v>
      </c>
      <c r="H990" s="45">
        <v>60</v>
      </c>
      <c r="I990" s="45">
        <f>(8-1-0.75*2)*60*F990-K990-8*0.12*60</f>
        <v>57.900000000000006</v>
      </c>
      <c r="J990" s="45">
        <v>14</v>
      </c>
      <c r="K990" s="45">
        <f>(8-1-0.75*2)*0.65*60*F990</f>
        <v>214.5</v>
      </c>
      <c r="L990" s="48">
        <v>6.47</v>
      </c>
      <c r="M990" s="48">
        <v>6.47</v>
      </c>
      <c r="N990" s="45">
        <v>10</v>
      </c>
      <c r="O990" s="45">
        <f>E990/F990</f>
        <v>1</v>
      </c>
      <c r="P990" s="45">
        <v>15</v>
      </c>
      <c r="Q990" s="45">
        <v>15</v>
      </c>
      <c r="R990" s="47">
        <v>0</v>
      </c>
      <c r="S990" s="47">
        <v>1.27</v>
      </c>
      <c r="T990" s="48">
        <f>ROUND((L990*I990+1.3*L990*K990+S990*H990),4)</f>
        <v>2254.9724999999999</v>
      </c>
      <c r="U990" s="48">
        <f>ROUND((M990*I990+1.3*M990*K990+S990*H990),4)</f>
        <v>2254.9724999999999</v>
      </c>
      <c r="V990" s="48">
        <f>ROUND((M990*I990+1.3*M990*K990+S990*H990),4)</f>
        <v>2254.9724999999999</v>
      </c>
      <c r="W990" s="48">
        <f>ROUND((L990*J990+1.3*L990*N990+S990*G990),4)</f>
        <v>182.31</v>
      </c>
      <c r="X990" s="48">
        <f>ROUND((M990*J990+1.3*M990*N990+S990*G990),4)</f>
        <v>182.31</v>
      </c>
      <c r="Y990" s="48">
        <f>ROUND((M990*J990+1.3*M990*N990+S990*G990),4)</f>
        <v>182.31</v>
      </c>
      <c r="Z990" s="49">
        <f>ROUND((P990*T990*F990*O990/1000000),4)</f>
        <v>3.3799999999999997E-2</v>
      </c>
      <c r="AA990" s="49">
        <f>ROUND((Q990*U990*F990*O990/1000000),4)</f>
        <v>3.3799999999999997E-2</v>
      </c>
      <c r="AB990" s="49">
        <f>ROUND((R990*V990*F990*O990/1000000),4)</f>
        <v>0</v>
      </c>
      <c r="AC990" s="50" t="s">
        <v>200</v>
      </c>
      <c r="AD990" s="51" t="s">
        <v>153</v>
      </c>
      <c r="AE990" s="44">
        <f>ROUND((((X990*E990)/1800)*0.8),4)</f>
        <v>8.1000000000000003E-2</v>
      </c>
      <c r="AF990" s="44">
        <f>ROUND(((Z990+AA990+AB990)*0.8),4)</f>
        <v>5.4100000000000002E-2</v>
      </c>
    </row>
    <row r="991" spans="1:32" ht="12.95" customHeight="1" x14ac:dyDescent="0.25">
      <c r="A991" s="89"/>
      <c r="B991" s="53" t="s">
        <v>237</v>
      </c>
      <c r="C991" s="52"/>
      <c r="D991" s="52"/>
      <c r="E991" s="52"/>
      <c r="F991" s="63"/>
      <c r="G991" s="52"/>
      <c r="H991" s="52"/>
      <c r="I991" s="52"/>
      <c r="J991" s="52"/>
      <c r="K991" s="52"/>
      <c r="L991" s="56"/>
      <c r="M991" s="56"/>
      <c r="N991" s="52"/>
      <c r="O991" s="52"/>
      <c r="P991" s="52"/>
      <c r="Q991" s="52"/>
      <c r="R991" s="52"/>
      <c r="S991" s="57"/>
      <c r="T991" s="54"/>
      <c r="U991" s="54"/>
      <c r="V991" s="54"/>
      <c r="W991" s="54"/>
      <c r="X991" s="54"/>
      <c r="Y991" s="54"/>
      <c r="Z991" s="54"/>
      <c r="AA991" s="54"/>
      <c r="AB991" s="54"/>
      <c r="AC991" s="50" t="s">
        <v>201</v>
      </c>
      <c r="AD991" s="51" t="s">
        <v>202</v>
      </c>
      <c r="AE991" s="44">
        <f>ROUND((((X990*E990)/1800)*0.13),4)</f>
        <v>1.32E-2</v>
      </c>
      <c r="AF991" s="44">
        <f>ROUND(((Z990+AA990+AB990)*0.13),4)</f>
        <v>8.8000000000000005E-3</v>
      </c>
    </row>
    <row r="992" spans="1:32" ht="12.95" customHeight="1" x14ac:dyDescent="0.25">
      <c r="A992" s="89"/>
      <c r="B992" s="67"/>
      <c r="C992" s="55"/>
      <c r="D992" s="55"/>
      <c r="E992" s="52"/>
      <c r="F992" s="63"/>
      <c r="G992" s="52"/>
      <c r="H992" s="52"/>
      <c r="I992" s="52"/>
      <c r="J992" s="52"/>
      <c r="K992" s="52"/>
      <c r="L992" s="59">
        <v>0.51</v>
      </c>
      <c r="M992" s="59">
        <v>0.63</v>
      </c>
      <c r="N992" s="52"/>
      <c r="O992" s="52"/>
      <c r="P992" s="52"/>
      <c r="Q992" s="52"/>
      <c r="R992" s="52"/>
      <c r="S992" s="60">
        <v>0.25</v>
      </c>
      <c r="T992" s="48">
        <f>ROUND((L992*I990+1.3*L992*K990+S992*H990),4)</f>
        <v>186.74250000000001</v>
      </c>
      <c r="U992" s="48">
        <f>ROUND((M992*0.9*I990+1.3*M992*0.9*K990+S992*H990),4)</f>
        <v>205.93729999999999</v>
      </c>
      <c r="V992" s="48">
        <f>ROUND((M992*I990+1.3*M992*K990+S992*H990),4)</f>
        <v>227.1525</v>
      </c>
      <c r="W992" s="48">
        <f>ROUND((L992*J990+1.3*L992*N990+S992*G990),4)</f>
        <v>15.27</v>
      </c>
      <c r="X992" s="48">
        <f>ROUND((M992*0.9*J990+1.3*M992*0.9*N990+S992*G990),4)</f>
        <v>16.809000000000001</v>
      </c>
      <c r="Y992" s="48">
        <f>ROUND((M992*J990+1.3*M992*N990+S992*G990),4)</f>
        <v>18.510000000000002</v>
      </c>
      <c r="Z992" s="49">
        <f>ROUND((P990*T992*F990*O990/1000000),4)</f>
        <v>2.8E-3</v>
      </c>
      <c r="AA992" s="49">
        <f>ROUND((Q990*U992*F990*O990/1000000),4)</f>
        <v>3.0999999999999999E-3</v>
      </c>
      <c r="AB992" s="49">
        <f>ROUND((R990*V992*F990*O990/1000000),4)</f>
        <v>0</v>
      </c>
      <c r="AC992" s="50" t="s">
        <v>203</v>
      </c>
      <c r="AD992" s="51" t="s">
        <v>204</v>
      </c>
      <c r="AE992" s="44">
        <f>ROUND((((X992*E990)/1800)),4)</f>
        <v>9.2999999999999992E-3</v>
      </c>
      <c r="AF992" s="44">
        <f>ROUND(((Z992+AA992+AB992)),5)</f>
        <v>5.8999999999999999E-3</v>
      </c>
    </row>
    <row r="993" spans="1:34" ht="12.95" customHeight="1" x14ac:dyDescent="0.25">
      <c r="A993" s="89"/>
      <c r="B993" s="53"/>
      <c r="C993" s="52"/>
      <c r="D993" s="52"/>
      <c r="E993" s="52"/>
      <c r="F993" s="63"/>
      <c r="G993" s="52"/>
      <c r="H993" s="52"/>
      <c r="I993" s="52"/>
      <c r="J993" s="52"/>
      <c r="K993" s="52"/>
      <c r="L993" s="59">
        <v>1.1399999999999999</v>
      </c>
      <c r="M993" s="59">
        <v>1.37</v>
      </c>
      <c r="N993" s="52"/>
      <c r="O993" s="52"/>
      <c r="P993" s="52"/>
      <c r="Q993" s="52"/>
      <c r="R993" s="52"/>
      <c r="S993" s="61">
        <v>0.79</v>
      </c>
      <c r="T993" s="48">
        <f>ROUND((L993*I990+1.3*L993*K990+S993*H990),4)</f>
        <v>431.29500000000002</v>
      </c>
      <c r="U993" s="48">
        <f>ROUND((M993*0.9*I990+1.3*M993*0.9*K990+S993*H990),4)</f>
        <v>462.61279999999999</v>
      </c>
      <c r="V993" s="48">
        <f>ROUND((M993*I990+1.3*M993*K990+S993*H990),4)</f>
        <v>508.7475</v>
      </c>
      <c r="W993" s="48">
        <f>ROUND((L993*J990+1.3*L993*N990+S993*G990),4)</f>
        <v>35.520000000000003</v>
      </c>
      <c r="X993" s="48">
        <f>ROUND((M993*0.9*J990+1.3*M993*0.9*N990+S993*G990),4)</f>
        <v>38.030999999999999</v>
      </c>
      <c r="Y993" s="48">
        <f>ROUND((M993*J990+1.3*N990+S993*G990),4)</f>
        <v>36.92</v>
      </c>
      <c r="Z993" s="49">
        <f>ROUND((P990*T993*F990*O990/1000000),4)</f>
        <v>6.4999999999999997E-3</v>
      </c>
      <c r="AA993" s="49">
        <f>ROUND((Q990*U993*F990*O990/1000000),4)</f>
        <v>6.8999999999999999E-3</v>
      </c>
      <c r="AB993" s="49">
        <f>ROUND((R990*V993*F990*O990/1000000),4)</f>
        <v>0</v>
      </c>
      <c r="AC993" s="50" t="s">
        <v>205</v>
      </c>
      <c r="AD993" s="51" t="s">
        <v>206</v>
      </c>
      <c r="AE993" s="44">
        <f>ROUND((((X993*E990)/1800)),4)</f>
        <v>2.1100000000000001E-2</v>
      </c>
      <c r="AF993" s="44">
        <f>ROUND(((Z993+AA993+AB993)),4)</f>
        <v>1.34E-2</v>
      </c>
    </row>
    <row r="994" spans="1:34" ht="12.95" customHeight="1" x14ac:dyDescent="0.25">
      <c r="A994" s="89"/>
      <c r="B994" s="53"/>
      <c r="C994" s="52"/>
      <c r="D994" s="52"/>
      <c r="E994" s="52"/>
      <c r="F994" s="63"/>
      <c r="G994" s="52"/>
      <c r="H994" s="52"/>
      <c r="I994" s="52"/>
      <c r="J994" s="52"/>
      <c r="K994" s="52"/>
      <c r="L994" s="59">
        <v>0.72</v>
      </c>
      <c r="M994" s="59">
        <v>1.08</v>
      </c>
      <c r="N994" s="52"/>
      <c r="O994" s="52"/>
      <c r="P994" s="52"/>
      <c r="Q994" s="52"/>
      <c r="R994" s="52"/>
      <c r="S994" s="61">
        <v>0.17</v>
      </c>
      <c r="T994" s="48">
        <f>ROUND((L994*I990+1.3*L994*K990+S994*H990),4)</f>
        <v>252.66</v>
      </c>
      <c r="U994" s="48">
        <f>ROUND((M994*0.9*I990+1.3*M994*0.9*K990+S994*H990),4)</f>
        <v>337.52100000000002</v>
      </c>
      <c r="V994" s="48">
        <f>ROUND((M994*I990+1.3*M994*K990+S994*H990),4)</f>
        <v>373.89</v>
      </c>
      <c r="W994" s="48">
        <f>ROUND((L994*J990+1.3*L994*N990+S994*G990),4)</f>
        <v>20.46</v>
      </c>
      <c r="X994" s="48">
        <f>ROUND((M994*0.9*J990+1.3*M994*0.9*N990+S994*G990),4)</f>
        <v>27.263999999999999</v>
      </c>
      <c r="Y994" s="48">
        <f>ROUND((M994*J990+1.3*M994*N990+S994*G990),4)</f>
        <v>30.18</v>
      </c>
      <c r="Z994" s="49">
        <f>ROUND((P990*T994*F990*O990/1000000),4)</f>
        <v>3.8E-3</v>
      </c>
      <c r="AA994" s="49">
        <f>ROUND((Q990*U994*F990*O990/1000000),4)</f>
        <v>5.1000000000000004E-3</v>
      </c>
      <c r="AB994" s="49">
        <f>ROUND((R990*V994*F990*O990/1000000),4)</f>
        <v>0</v>
      </c>
      <c r="AC994" s="50" t="s">
        <v>250</v>
      </c>
      <c r="AD994" s="51" t="s">
        <v>208</v>
      </c>
      <c r="AE994" s="44">
        <f>ROUND((((X994*E990)/1800)),4)</f>
        <v>1.5100000000000001E-2</v>
      </c>
      <c r="AF994" s="44">
        <f>ROUND(((Z994+AA994+AB994)),4)</f>
        <v>8.8999999999999999E-3</v>
      </c>
    </row>
    <row r="995" spans="1:34" ht="12.95" customHeight="1" x14ac:dyDescent="0.25">
      <c r="A995" s="89"/>
      <c r="B995" s="62"/>
      <c r="C995" s="56"/>
      <c r="D995" s="56"/>
      <c r="E995" s="56"/>
      <c r="F995" s="66"/>
      <c r="G995" s="56"/>
      <c r="H995" s="56"/>
      <c r="I995" s="56"/>
      <c r="J995" s="56"/>
      <c r="K995" s="56"/>
      <c r="L995" s="59">
        <v>3.37</v>
      </c>
      <c r="M995" s="59">
        <v>4.1100000000000003</v>
      </c>
      <c r="N995" s="56"/>
      <c r="O995" s="56"/>
      <c r="P995" s="56"/>
      <c r="Q995" s="56"/>
      <c r="R995" s="56"/>
      <c r="S995" s="61">
        <v>6.31</v>
      </c>
      <c r="T995" s="48">
        <f>ROUND((L995*I990+1.3*L995*K990+S995*H990),4)</f>
        <v>1513.4475</v>
      </c>
      <c r="U995" s="48">
        <f>ROUND((M995*0.9*I990+1.3*M995*0.9*K990+S995*H990),4)</f>
        <v>1624.2383</v>
      </c>
      <c r="V995" s="48">
        <f>ROUND((M995*I990+1.3*M995*K990+S995*H990),4)</f>
        <v>1762.6424999999999</v>
      </c>
      <c r="W995" s="48">
        <f>ROUND((L995*J990+1.3*L995*N990+S995*G990),4)</f>
        <v>128.85</v>
      </c>
      <c r="X995" s="48">
        <f>ROUND((M995*0.9*J990+1.3*M995*0.9*N990+S995*G990),4)</f>
        <v>137.733</v>
      </c>
      <c r="Y995" s="48">
        <f>ROUND((M995*J990+1.3*M995*N990+S995*G990),4)</f>
        <v>148.83000000000001</v>
      </c>
      <c r="Z995" s="49">
        <f>ROUND((P990*T995*F990*O990/1000000),4)</f>
        <v>2.2700000000000001E-2</v>
      </c>
      <c r="AA995" s="49">
        <f>ROUND((Q990*U995*F990*O990/1000000),4)</f>
        <v>2.4400000000000002E-2</v>
      </c>
      <c r="AB995" s="49">
        <f>ROUND((R990*V995*F990*O990/1000000),4)</f>
        <v>0</v>
      </c>
      <c r="AC995" s="50" t="s">
        <v>170</v>
      </c>
      <c r="AD995" s="51" t="s">
        <v>162</v>
      </c>
      <c r="AE995" s="44">
        <f>ROUND((((X995*E990)/1800)),4)</f>
        <v>7.6499999999999999E-2</v>
      </c>
      <c r="AF995" s="44">
        <f>ROUND(((Z995+AA995+AB995)),4)</f>
        <v>4.7100000000000003E-2</v>
      </c>
    </row>
    <row r="996" spans="1:34" ht="12.95" customHeight="1" x14ac:dyDescent="0.25">
      <c r="A996" s="89"/>
      <c r="B996" s="46" t="s">
        <v>240</v>
      </c>
      <c r="C996" s="46">
        <v>6</v>
      </c>
      <c r="D996" s="45" t="s">
        <v>210</v>
      </c>
      <c r="E996" s="45">
        <v>1</v>
      </c>
      <c r="F996" s="45">
        <v>1</v>
      </c>
      <c r="G996" s="45">
        <v>6</v>
      </c>
      <c r="H996" s="45">
        <v>60</v>
      </c>
      <c r="I996" s="45">
        <f>(8-1-0.75*2)*60*F996-K996-8*0.12*60</f>
        <v>57.900000000000006</v>
      </c>
      <c r="J996" s="45">
        <v>14</v>
      </c>
      <c r="K996" s="45">
        <f>(8-1-0.75*2)*0.65*60*F996</f>
        <v>214.5</v>
      </c>
      <c r="L996" s="48">
        <v>6.47</v>
      </c>
      <c r="M996" s="48">
        <v>6.47</v>
      </c>
      <c r="N996" s="45">
        <v>10</v>
      </c>
      <c r="O996" s="45">
        <f>E996/F996</f>
        <v>1</v>
      </c>
      <c r="P996" s="45">
        <v>15</v>
      </c>
      <c r="Q996" s="45">
        <v>15</v>
      </c>
      <c r="R996" s="47">
        <v>0</v>
      </c>
      <c r="S996" s="47">
        <v>1.27</v>
      </c>
      <c r="T996" s="48">
        <f>ROUND((L996*I996+1.3*L996*K996+S996*H996),4)</f>
        <v>2254.9724999999999</v>
      </c>
      <c r="U996" s="48">
        <f>ROUND((M996*I996+1.3*M996*K996+S996*H996),4)</f>
        <v>2254.9724999999999</v>
      </c>
      <c r="V996" s="48">
        <f>ROUND((M996*I996+1.3*M996*K996+S996*H996),4)</f>
        <v>2254.9724999999999</v>
      </c>
      <c r="W996" s="48">
        <f>ROUND((L996*J996+1.3*L996*N996+S996*G996),4)</f>
        <v>182.31</v>
      </c>
      <c r="X996" s="48">
        <f>ROUND((M996*J996+1.3*M996*N996+S996*G996),4)</f>
        <v>182.31</v>
      </c>
      <c r="Y996" s="48">
        <f>ROUND((M996*J996+1.3*M996*N996+S996*G996),4)</f>
        <v>182.31</v>
      </c>
      <c r="Z996" s="49">
        <f>ROUND((P996*T996*F996*O996/1000000),4)</f>
        <v>3.3799999999999997E-2</v>
      </c>
      <c r="AA996" s="49">
        <f>ROUND((Q996*U996*F996*O996/1000000),4)</f>
        <v>3.3799999999999997E-2</v>
      </c>
      <c r="AB996" s="49">
        <f>ROUND((R996*V996*F996*O996/1000000),4)</f>
        <v>0</v>
      </c>
      <c r="AC996" s="50" t="s">
        <v>200</v>
      </c>
      <c r="AD996" s="51" t="s">
        <v>153</v>
      </c>
      <c r="AE996" s="44">
        <f>ROUND((((X996*E996)/1800)*0.8),4)</f>
        <v>8.1000000000000003E-2</v>
      </c>
      <c r="AF996" s="44">
        <f>ROUND(((Z996+AA996+AB996)*0.8),4)</f>
        <v>5.4100000000000002E-2</v>
      </c>
    </row>
    <row r="997" spans="1:34" ht="12.95" customHeight="1" x14ac:dyDescent="0.25">
      <c r="A997" s="89"/>
      <c r="B997" s="53" t="s">
        <v>241</v>
      </c>
      <c r="C997" s="52"/>
      <c r="D997" s="52"/>
      <c r="E997" s="52"/>
      <c r="F997" s="52"/>
      <c r="G997" s="52"/>
      <c r="H997" s="52"/>
      <c r="I997" s="52"/>
      <c r="J997" s="52"/>
      <c r="K997" s="52"/>
      <c r="L997" s="56"/>
      <c r="M997" s="56"/>
      <c r="N997" s="52"/>
      <c r="O997" s="52"/>
      <c r="P997" s="52"/>
      <c r="Q997" s="52"/>
      <c r="R997" s="52"/>
      <c r="S997" s="57"/>
      <c r="T997" s="54"/>
      <c r="U997" s="54"/>
      <c r="V997" s="54"/>
      <c r="W997" s="54"/>
      <c r="X997" s="54"/>
      <c r="Y997" s="54"/>
      <c r="Z997" s="54"/>
      <c r="AA997" s="54"/>
      <c r="AB997" s="54"/>
      <c r="AC997" s="50" t="s">
        <v>201</v>
      </c>
      <c r="AD997" s="51" t="s">
        <v>202</v>
      </c>
      <c r="AE997" s="44">
        <f>ROUND((((X996*E996)/1800)*0.13),4)</f>
        <v>1.32E-2</v>
      </c>
      <c r="AF997" s="44">
        <f>ROUND(((Z996+AA996+AB996)*0.13),4)</f>
        <v>8.8000000000000005E-3</v>
      </c>
    </row>
    <row r="998" spans="1:34" ht="12.95" customHeight="1" x14ac:dyDescent="0.25">
      <c r="A998" s="89"/>
      <c r="B998" s="67"/>
      <c r="C998" s="55"/>
      <c r="D998" s="55"/>
      <c r="E998" s="52"/>
      <c r="F998" s="52"/>
      <c r="G998" s="52"/>
      <c r="H998" s="52"/>
      <c r="I998" s="52"/>
      <c r="J998" s="52"/>
      <c r="K998" s="52"/>
      <c r="L998" s="59">
        <v>0.51</v>
      </c>
      <c r="M998" s="59">
        <v>0.63</v>
      </c>
      <c r="N998" s="52"/>
      <c r="O998" s="52"/>
      <c r="P998" s="52"/>
      <c r="Q998" s="52"/>
      <c r="R998" s="52"/>
      <c r="S998" s="60">
        <v>0.25</v>
      </c>
      <c r="T998" s="48">
        <f>ROUND((L998*I996+1.3*L998*K996+S998*H996),4)</f>
        <v>186.74250000000001</v>
      </c>
      <c r="U998" s="48">
        <f>ROUND((M998*0.9*I996+1.3*M998*0.9*K996+S998*H996),4)</f>
        <v>205.93729999999999</v>
      </c>
      <c r="V998" s="48">
        <f>ROUND((M998*I996+1.3*M998*K996+S998*H996),4)</f>
        <v>227.1525</v>
      </c>
      <c r="W998" s="48">
        <f>ROUND((L998*J996+1.3*L998*N996+S998*G996),4)</f>
        <v>15.27</v>
      </c>
      <c r="X998" s="48">
        <f>ROUND((M998*0.9*J996+1.3*M998*0.9*N996+S998*G996),4)</f>
        <v>16.809000000000001</v>
      </c>
      <c r="Y998" s="48">
        <f>ROUND((M998*J996+1.3*M998*N996+S998*G996),4)</f>
        <v>18.510000000000002</v>
      </c>
      <c r="Z998" s="49">
        <f>ROUND((P996*T998*F996*O996/1000000),4)</f>
        <v>2.8E-3</v>
      </c>
      <c r="AA998" s="49">
        <f>ROUND((Q996*U998*F996*O996/1000000),4)</f>
        <v>3.0999999999999999E-3</v>
      </c>
      <c r="AB998" s="49">
        <f>ROUND((R996*V998*F996*O996/1000000),4)</f>
        <v>0</v>
      </c>
      <c r="AC998" s="50" t="s">
        <v>203</v>
      </c>
      <c r="AD998" s="51" t="s">
        <v>204</v>
      </c>
      <c r="AE998" s="44">
        <f>ROUND((((X998*E996)/1800)),4)</f>
        <v>9.2999999999999992E-3</v>
      </c>
      <c r="AF998" s="44">
        <f>ROUND(((Z998+AA998+AB998)),5)</f>
        <v>5.8999999999999999E-3</v>
      </c>
    </row>
    <row r="999" spans="1:34" ht="12.95" customHeight="1" x14ac:dyDescent="0.25">
      <c r="A999" s="89"/>
      <c r="B999" s="53"/>
      <c r="C999" s="52"/>
      <c r="D999" s="52"/>
      <c r="E999" s="52"/>
      <c r="F999" s="52"/>
      <c r="G999" s="52"/>
      <c r="H999" s="52"/>
      <c r="I999" s="52"/>
      <c r="J999" s="52"/>
      <c r="K999" s="52"/>
      <c r="L999" s="59">
        <v>1.1399999999999999</v>
      </c>
      <c r="M999" s="59">
        <v>1.37</v>
      </c>
      <c r="N999" s="52"/>
      <c r="O999" s="52"/>
      <c r="P999" s="52"/>
      <c r="Q999" s="52"/>
      <c r="R999" s="52"/>
      <c r="S999" s="61">
        <v>0.79</v>
      </c>
      <c r="T999" s="48">
        <f>ROUND((L999*I996+1.3*L999*K996+S999*H996),4)</f>
        <v>431.29500000000002</v>
      </c>
      <c r="U999" s="48">
        <f>ROUND((M999*0.9*I996+1.3*M999*0.9*K996+S999*H996),4)</f>
        <v>462.61279999999999</v>
      </c>
      <c r="V999" s="48">
        <f>ROUND((M999*I996+1.3*M999*K996+S999*H996),4)</f>
        <v>508.7475</v>
      </c>
      <c r="W999" s="48">
        <f>ROUND((L999*J996+1.3*L999*N996+S999*G996),4)</f>
        <v>35.520000000000003</v>
      </c>
      <c r="X999" s="48">
        <f>ROUND((M999*0.9*J996+1.3*M999*0.9*N996+S999*G996),4)</f>
        <v>38.030999999999999</v>
      </c>
      <c r="Y999" s="48">
        <f>ROUND((M999*J996+1.3*N996+S999*G996),4)</f>
        <v>36.92</v>
      </c>
      <c r="Z999" s="49">
        <f>ROUND((P996*T999*F996*O996/1000000),4)</f>
        <v>6.4999999999999997E-3</v>
      </c>
      <c r="AA999" s="49">
        <f>ROUND((Q996*U999*F996*O996/1000000),4)</f>
        <v>6.8999999999999999E-3</v>
      </c>
      <c r="AB999" s="49">
        <f>ROUND((R996*V999*F996*O996/1000000),4)</f>
        <v>0</v>
      </c>
      <c r="AC999" s="50" t="s">
        <v>205</v>
      </c>
      <c r="AD999" s="51" t="s">
        <v>206</v>
      </c>
      <c r="AE999" s="44">
        <f>ROUND((((X999*E996)/1800)),4)</f>
        <v>2.1100000000000001E-2</v>
      </c>
      <c r="AF999" s="44">
        <f>ROUND(((Z999+AA999+AB999)),4)</f>
        <v>1.34E-2</v>
      </c>
    </row>
    <row r="1000" spans="1:34" ht="12.95" customHeight="1" x14ac:dyDescent="0.25">
      <c r="A1000" s="89"/>
      <c r="B1000" s="53"/>
      <c r="C1000" s="52"/>
      <c r="D1000" s="52"/>
      <c r="E1000" s="52"/>
      <c r="F1000" s="52"/>
      <c r="G1000" s="52"/>
      <c r="H1000" s="52"/>
      <c r="I1000" s="52"/>
      <c r="J1000" s="52"/>
      <c r="K1000" s="52"/>
      <c r="L1000" s="59">
        <v>0.72</v>
      </c>
      <c r="M1000" s="59">
        <v>1.08</v>
      </c>
      <c r="N1000" s="52"/>
      <c r="O1000" s="52"/>
      <c r="P1000" s="52"/>
      <c r="Q1000" s="52"/>
      <c r="R1000" s="52"/>
      <c r="S1000" s="61">
        <v>0.17</v>
      </c>
      <c r="T1000" s="48">
        <f>ROUND((L1000*I996+1.3*L1000*K996+S1000*H996),4)</f>
        <v>252.66</v>
      </c>
      <c r="U1000" s="48">
        <f>ROUND((M1000*0.9*I996+1.3*M1000*0.9*K996+S1000*H996),4)</f>
        <v>337.52100000000002</v>
      </c>
      <c r="V1000" s="48">
        <f>ROUND((M1000*I996+1.3*M1000*K996+S1000*H996),4)</f>
        <v>373.89</v>
      </c>
      <c r="W1000" s="48">
        <f>ROUND((L1000*J996+1.3*L1000*N996+S1000*G996),4)</f>
        <v>20.46</v>
      </c>
      <c r="X1000" s="48">
        <f>ROUND((M1000*0.9*J996+1.3*M1000*0.9*N996+S1000*G996),4)</f>
        <v>27.263999999999999</v>
      </c>
      <c r="Y1000" s="48">
        <f>ROUND((M1000*J996+1.3*M1000*N996+S1000*G996),4)</f>
        <v>30.18</v>
      </c>
      <c r="Z1000" s="49">
        <f>ROUND((P996*T1000*F996*O996/1000000),4)</f>
        <v>3.8E-3</v>
      </c>
      <c r="AA1000" s="49">
        <f>ROUND((Q996*U1000*F996*O996/1000000),4)</f>
        <v>5.1000000000000004E-3</v>
      </c>
      <c r="AB1000" s="49">
        <f>ROUND((R996*V1000*F996*O996/1000000),4)</f>
        <v>0</v>
      </c>
      <c r="AC1000" s="50" t="s">
        <v>250</v>
      </c>
      <c r="AD1000" s="51" t="s">
        <v>208</v>
      </c>
      <c r="AE1000" s="44">
        <f>ROUND((((X1000*E996)/1800)),4)</f>
        <v>1.5100000000000001E-2</v>
      </c>
      <c r="AF1000" s="44">
        <f>ROUND(((Z1000+AA1000+AB1000)),4)</f>
        <v>8.8999999999999999E-3</v>
      </c>
    </row>
    <row r="1001" spans="1:34" ht="12.95" customHeight="1" x14ac:dyDescent="0.25">
      <c r="A1001" s="89"/>
      <c r="B1001" s="62"/>
      <c r="C1001" s="56"/>
      <c r="D1001" s="56"/>
      <c r="E1001" s="56"/>
      <c r="F1001" s="56"/>
      <c r="G1001" s="56"/>
      <c r="H1001" s="56"/>
      <c r="I1001" s="56"/>
      <c r="J1001" s="56"/>
      <c r="K1001" s="56"/>
      <c r="L1001" s="59">
        <v>3.37</v>
      </c>
      <c r="M1001" s="59">
        <v>4.1100000000000003</v>
      </c>
      <c r="N1001" s="56"/>
      <c r="O1001" s="56"/>
      <c r="P1001" s="56"/>
      <c r="Q1001" s="56"/>
      <c r="R1001" s="56"/>
      <c r="S1001" s="61">
        <v>6.31</v>
      </c>
      <c r="T1001" s="48">
        <f>ROUND((L1001*I996+1.3*L1001*K996+S1001*H996),4)</f>
        <v>1513.4475</v>
      </c>
      <c r="U1001" s="48">
        <f>ROUND((M1001*0.9*I996+1.3*M1001*0.9*K996+S1001*H996),4)</f>
        <v>1624.2383</v>
      </c>
      <c r="V1001" s="48">
        <f>ROUND((M1001*I996+1.3*M1001*K996+S1001*H996),4)</f>
        <v>1762.6424999999999</v>
      </c>
      <c r="W1001" s="48">
        <f>ROUND((L1001*J996+1.3*L1001*N996+S1001*G996),4)</f>
        <v>128.85</v>
      </c>
      <c r="X1001" s="48">
        <f>ROUND((M1001*0.9*J996+1.3*M1001*0.9*N996+S1001*G996),4)</f>
        <v>137.733</v>
      </c>
      <c r="Y1001" s="48">
        <f>ROUND((M1001*J996+1.3*M1001*N996+S1001*G996),4)</f>
        <v>148.83000000000001</v>
      </c>
      <c r="Z1001" s="49">
        <f>ROUND((P996*T1001*F996*O996/1000000),4)</f>
        <v>2.2700000000000001E-2</v>
      </c>
      <c r="AA1001" s="49">
        <f>ROUND((Q996*U1001*F996*O996/1000000),4)</f>
        <v>2.4400000000000002E-2</v>
      </c>
      <c r="AB1001" s="49">
        <f>ROUND((R996*V1001*F996*O996/1000000),4)</f>
        <v>0</v>
      </c>
      <c r="AC1001" s="50" t="s">
        <v>170</v>
      </c>
      <c r="AD1001" s="51" t="s">
        <v>162</v>
      </c>
      <c r="AE1001" s="44">
        <f>ROUND((((X1001*E996)/1800)),4)</f>
        <v>7.6499999999999999E-2</v>
      </c>
      <c r="AF1001" s="44">
        <f>ROUND(((Z1001+AA1001+AB1001)),4)</f>
        <v>4.7100000000000003E-2</v>
      </c>
    </row>
    <row r="1002" spans="1:34" ht="12.95" customHeight="1" x14ac:dyDescent="0.25">
      <c r="A1002" s="52"/>
      <c r="B1002" s="67" t="s">
        <v>242</v>
      </c>
      <c r="C1002" s="46">
        <v>3</v>
      </c>
      <c r="D1002" s="45" t="s">
        <v>228</v>
      </c>
      <c r="E1002" s="45">
        <v>1</v>
      </c>
      <c r="F1002" s="45">
        <v>1</v>
      </c>
      <c r="G1002" s="45">
        <v>6</v>
      </c>
      <c r="H1002" s="45">
        <v>60</v>
      </c>
      <c r="I1002" s="45">
        <f>(8-1-0.75*2)*60*F1002-K1002-8*0.12*60</f>
        <v>57.900000000000006</v>
      </c>
      <c r="J1002" s="45">
        <v>14</v>
      </c>
      <c r="K1002" s="45">
        <f>(8-1-0.75*2)*0.65*60*F1002</f>
        <v>214.5</v>
      </c>
      <c r="L1002" s="48">
        <v>1.49</v>
      </c>
      <c r="M1002" s="48">
        <v>1.49</v>
      </c>
      <c r="N1002" s="45">
        <v>10</v>
      </c>
      <c r="O1002" s="45">
        <f>E1002/F1002</f>
        <v>1</v>
      </c>
      <c r="P1002" s="45">
        <v>150</v>
      </c>
      <c r="Q1002" s="45">
        <v>30</v>
      </c>
      <c r="R1002" s="47">
        <v>30</v>
      </c>
      <c r="S1002" s="47">
        <v>0.28999999999999998</v>
      </c>
      <c r="T1002" s="48">
        <f>ROUND((L1002*I1002+1.3*L1002*K1002+S1002*H1002),4)</f>
        <v>519.15750000000003</v>
      </c>
      <c r="U1002" s="48">
        <f>ROUND((M1002*I1002+1.3*M1002*K1002+S1002*H1002),4)</f>
        <v>519.15750000000003</v>
      </c>
      <c r="V1002" s="48">
        <f>ROUND((M1002*I1002+1.3*M1002*K1002+S1002*H1002),4)</f>
        <v>519.15750000000003</v>
      </c>
      <c r="W1002" s="48">
        <f>ROUND((L1002*J1002+1.3*L1002*N1002+S1002*G1002),4)</f>
        <v>41.97</v>
      </c>
      <c r="X1002" s="48">
        <f>ROUND((M1002*J1002+1.3*M1002*N1002+S1002*G1002),4)</f>
        <v>41.97</v>
      </c>
      <c r="Y1002" s="48">
        <f>ROUND((M1002*J1002+1.3*M1002*N1002+S1002*G1002),4)</f>
        <v>41.97</v>
      </c>
      <c r="Z1002" s="49">
        <f>ROUND((P1002*T1002*F1002*O1002/1000000),4)</f>
        <v>7.7899999999999997E-2</v>
      </c>
      <c r="AA1002" s="49">
        <f>ROUND((Q1002*U1002*F1002*O1002/1000000),4)</f>
        <v>1.5599999999999999E-2</v>
      </c>
      <c r="AB1002" s="49">
        <f>ROUND((R1002*V1002*F1002*O1002/1000000),4)</f>
        <v>1.5599999999999999E-2</v>
      </c>
      <c r="AC1002" s="50" t="s">
        <v>200</v>
      </c>
      <c r="AD1002" s="51" t="s">
        <v>153</v>
      </c>
      <c r="AE1002" s="44">
        <f>ROUND((((X1002*E1002)/1800)*0.8),4)</f>
        <v>1.8700000000000001E-2</v>
      </c>
      <c r="AF1002" s="44">
        <f>ROUND(((Z1002+AA1002+AB1002)*0.8),4)</f>
        <v>8.7300000000000003E-2</v>
      </c>
      <c r="AG1002" s="88"/>
      <c r="AH1002" s="88"/>
    </row>
    <row r="1003" spans="1:34" ht="12.95" customHeight="1" x14ac:dyDescent="0.25">
      <c r="A1003" s="52"/>
      <c r="B1003" s="53" t="s">
        <v>243</v>
      </c>
      <c r="C1003" s="52"/>
      <c r="D1003" s="52"/>
      <c r="E1003" s="52"/>
      <c r="F1003" s="52"/>
      <c r="G1003" s="52"/>
      <c r="H1003" s="52"/>
      <c r="I1003" s="52"/>
      <c r="J1003" s="52"/>
      <c r="K1003" s="52"/>
      <c r="L1003" s="56"/>
      <c r="M1003" s="56"/>
      <c r="N1003" s="52"/>
      <c r="O1003" s="52"/>
      <c r="P1003" s="52"/>
      <c r="Q1003" s="52"/>
      <c r="R1003" s="52"/>
      <c r="S1003" s="57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0" t="s">
        <v>201</v>
      </c>
      <c r="AD1003" s="51" t="s">
        <v>202</v>
      </c>
      <c r="AE1003" s="44">
        <f>ROUND((((X1002*E1002)/1800)*0.13),4)</f>
        <v>3.0000000000000001E-3</v>
      </c>
      <c r="AF1003" s="44">
        <f>ROUND(((Z1002+AA1002+AB1002)*0.13),4)</f>
        <v>1.4200000000000001E-2</v>
      </c>
      <c r="AG1003" s="88"/>
      <c r="AH1003" s="88"/>
    </row>
    <row r="1004" spans="1:34" ht="12.95" customHeight="1" x14ac:dyDescent="0.25">
      <c r="A1004" s="52"/>
      <c r="B1004" s="88"/>
      <c r="C1004" s="55"/>
      <c r="D1004" s="55"/>
      <c r="E1004" s="52"/>
      <c r="F1004" s="52"/>
      <c r="G1004" s="52"/>
      <c r="H1004" s="52"/>
      <c r="I1004" s="52"/>
      <c r="J1004" s="52"/>
      <c r="K1004" s="52"/>
      <c r="L1004" s="59">
        <v>0.12</v>
      </c>
      <c r="M1004" s="59">
        <v>0.15</v>
      </c>
      <c r="N1004" s="52"/>
      <c r="O1004" s="52"/>
      <c r="P1004" s="52"/>
      <c r="Q1004" s="52"/>
      <c r="R1004" s="52"/>
      <c r="S1004" s="60">
        <v>5.8000000000000003E-2</v>
      </c>
      <c r="T1004" s="48">
        <f>ROUND((L1004*I1002+1.3*L1004*K1002+S1004*H1002),4)</f>
        <v>43.89</v>
      </c>
      <c r="U1004" s="48">
        <f>ROUND((M1004*0.9*I1002+1.3*M1004*0.9*K1002+S1004*H1002),4)</f>
        <v>48.941299999999998</v>
      </c>
      <c r="V1004" s="48">
        <f>ROUND((M1004*I1002+1.3*M1004*K1002+S1004*H1002),4)</f>
        <v>53.9925</v>
      </c>
      <c r="W1004" s="48">
        <f>ROUND((L1004*J1002+1.3*L1004*N1002+S1004*G1002),4)</f>
        <v>3.5880000000000001</v>
      </c>
      <c r="X1004" s="48">
        <f>ROUND((M1004*0.9*J1002+1.3*M1004*0.9*N1002+S1004*G1002),4)</f>
        <v>3.9929999999999999</v>
      </c>
      <c r="Y1004" s="48">
        <f>ROUND((M1004*J1002+1.3*M1004*N1002+S1004*G1002),4)</f>
        <v>4.3979999999999997</v>
      </c>
      <c r="Z1004" s="49">
        <f>ROUND((P1002*T1004*F1002*O1002/1000000),4)</f>
        <v>6.6E-3</v>
      </c>
      <c r="AA1004" s="49">
        <f>ROUND((Q1002*U1004*F1002*O1002/1000000),4)</f>
        <v>1.5E-3</v>
      </c>
      <c r="AB1004" s="49">
        <f>ROUND((R1002*V1004*F1002*O1002/1000000),4)</f>
        <v>1.6000000000000001E-3</v>
      </c>
      <c r="AC1004" s="50" t="s">
        <v>203</v>
      </c>
      <c r="AD1004" s="51" t="s">
        <v>204</v>
      </c>
      <c r="AE1004" s="44">
        <f>ROUND((((X1004*E1002)/1800)),4)</f>
        <v>2.2000000000000001E-3</v>
      </c>
      <c r="AF1004" s="44">
        <f>ROUND(((Z1004+AA1004+AB1004)),5)</f>
        <v>9.7000000000000003E-3</v>
      </c>
      <c r="AG1004" s="88"/>
      <c r="AH1004" s="88"/>
    </row>
    <row r="1005" spans="1:34" ht="12.95" customHeight="1" x14ac:dyDescent="0.25">
      <c r="A1005" s="52"/>
      <c r="B1005" s="88"/>
      <c r="C1005" s="52"/>
      <c r="D1005" s="52"/>
      <c r="E1005" s="52"/>
      <c r="F1005" s="52"/>
      <c r="G1005" s="52"/>
      <c r="H1005" s="52"/>
      <c r="I1005" s="52"/>
      <c r="J1005" s="52"/>
      <c r="K1005" s="52"/>
      <c r="L1005" s="59">
        <v>0.26</v>
      </c>
      <c r="M1005" s="59">
        <v>0.31</v>
      </c>
      <c r="N1005" s="52"/>
      <c r="O1005" s="52"/>
      <c r="P1005" s="52"/>
      <c r="Q1005" s="52"/>
      <c r="R1005" s="52"/>
      <c r="S1005" s="61">
        <v>0.18</v>
      </c>
      <c r="T1005" s="48">
        <f>ROUND((L1005*I1002+1.3*L1005*K1002+S1005*H1002),4)</f>
        <v>98.355000000000004</v>
      </c>
      <c r="U1005" s="48">
        <f>ROUND((M1005*0.9*I1002+1.3*M1005*0.9*K1002+S1005*H1002),4)</f>
        <v>104.7533</v>
      </c>
      <c r="V1005" s="48">
        <f>ROUND((M1005*I1002+1.3*M1005*K1002+S1005*H1002),4)</f>
        <v>115.1925</v>
      </c>
      <c r="W1005" s="48">
        <f>ROUND((L1005*J1002+1.3*L1005*N1002+S1005*G1002),4)</f>
        <v>8.1</v>
      </c>
      <c r="X1005" s="48">
        <f>ROUND((M1005*0.9*J1002+1.3*M1005*0.9*N1002+S1005*G1002),4)</f>
        <v>8.6129999999999995</v>
      </c>
      <c r="Y1005" s="48">
        <f>ROUND((M1005*J1002+1.3*N1002+S1005*G1002),4)</f>
        <v>18.420000000000002</v>
      </c>
      <c r="Z1005" s="49">
        <f>ROUND((P1002*T1005*F1002*O1002/1000000),4)</f>
        <v>1.4800000000000001E-2</v>
      </c>
      <c r="AA1005" s="49">
        <f>ROUND((Q1002*U1005*F1002*O1002/1000000),4)</f>
        <v>3.0999999999999999E-3</v>
      </c>
      <c r="AB1005" s="49">
        <f>ROUND((R1002*V1005*F1002*O1002/1000000),4)</f>
        <v>3.5000000000000001E-3</v>
      </c>
      <c r="AC1005" s="50" t="s">
        <v>205</v>
      </c>
      <c r="AD1005" s="51" t="s">
        <v>206</v>
      </c>
      <c r="AE1005" s="44">
        <f>ROUND((((X1005*E1002)/1800)),4)</f>
        <v>4.7999999999999996E-3</v>
      </c>
      <c r="AF1005" s="44">
        <f>ROUND(((Z1005+AA1005+AB1005)),4)</f>
        <v>2.1399999999999999E-2</v>
      </c>
      <c r="AG1005" s="88"/>
      <c r="AH1005" s="88"/>
    </row>
    <row r="1006" spans="1:34" ht="12.95" customHeight="1" x14ac:dyDescent="0.25">
      <c r="A1006" s="52"/>
      <c r="B1006" s="53"/>
      <c r="C1006" s="52"/>
      <c r="D1006" s="52"/>
      <c r="E1006" s="52"/>
      <c r="F1006" s="63"/>
      <c r="G1006" s="52"/>
      <c r="H1006" s="52"/>
      <c r="I1006" s="52"/>
      <c r="J1006" s="52"/>
      <c r="K1006" s="52"/>
      <c r="L1006" s="59">
        <v>0.17</v>
      </c>
      <c r="M1006" s="59">
        <v>0.25</v>
      </c>
      <c r="N1006" s="52"/>
      <c r="O1006" s="52"/>
      <c r="P1006" s="52"/>
      <c r="Q1006" s="52"/>
      <c r="R1006" s="52"/>
      <c r="S1006" s="61">
        <v>0.04</v>
      </c>
      <c r="T1006" s="48">
        <f>ROUND((L1006*I1002+1.3*L1006*K1002+S1006*H1002),4)</f>
        <v>59.647500000000001</v>
      </c>
      <c r="U1006" s="48">
        <f>ROUND((M1006*0.9*I1002+1.3*M1006*0.9*K1002+S1006*H1002),4)</f>
        <v>78.168800000000005</v>
      </c>
      <c r="V1006" s="48">
        <f>ROUND((M1006*I1002+1.3*M1006*K1002+S1006*H1002),4)</f>
        <v>86.587500000000006</v>
      </c>
      <c r="W1006" s="48">
        <f>ROUND((L1006*J1002+1.3*L1006*N1002+S1006*G1002),4)</f>
        <v>4.83</v>
      </c>
      <c r="X1006" s="48">
        <f>ROUND((M1006*0.9*J1002+1.3*M1006*0.9*N1002+S1006*G1002),4)</f>
        <v>6.3150000000000004</v>
      </c>
      <c r="Y1006" s="48">
        <f>ROUND((M1006*J1002+1.3*M1006*N1002+S1006*G1002),4)</f>
        <v>6.99</v>
      </c>
      <c r="Z1006" s="49">
        <f>ROUND((P1002*T1006*F1002*O1002/1000000),4)</f>
        <v>8.8999999999999999E-3</v>
      </c>
      <c r="AA1006" s="49">
        <f>ROUND((Q1002*U1006*F1002*O1002/1000000),4)</f>
        <v>2.3E-3</v>
      </c>
      <c r="AB1006" s="49">
        <f>ROUND((R1002*V1006*F1002*O1002/1000000),4)</f>
        <v>2.5999999999999999E-3</v>
      </c>
      <c r="AC1006" s="50" t="s">
        <v>250</v>
      </c>
      <c r="AD1006" s="51" t="s">
        <v>208</v>
      </c>
      <c r="AE1006" s="44">
        <f>ROUND((((X1006*E1002)/1800)),4)</f>
        <v>3.5000000000000001E-3</v>
      </c>
      <c r="AF1006" s="44">
        <f>ROUND(((Z1006+AA1006+AB1006)),4)</f>
        <v>1.38E-2</v>
      </c>
      <c r="AG1006" s="88"/>
      <c r="AH1006" s="88"/>
    </row>
    <row r="1007" spans="1:34" ht="12.95" customHeight="1" x14ac:dyDescent="0.25">
      <c r="A1007" s="56"/>
      <c r="B1007" s="62"/>
      <c r="C1007" s="56"/>
      <c r="D1007" s="56"/>
      <c r="E1007" s="56"/>
      <c r="F1007" s="66"/>
      <c r="G1007" s="56"/>
      <c r="H1007" s="56"/>
      <c r="I1007" s="56"/>
      <c r="J1007" s="56"/>
      <c r="K1007" s="56"/>
      <c r="L1007" s="59">
        <v>0.77</v>
      </c>
      <c r="M1007" s="59">
        <v>0.94</v>
      </c>
      <c r="N1007" s="56"/>
      <c r="O1007" s="56"/>
      <c r="P1007" s="56"/>
      <c r="Q1007" s="56"/>
      <c r="R1007" s="56"/>
      <c r="S1007" s="61">
        <v>1.44</v>
      </c>
      <c r="T1007" s="48">
        <f>ROUND((L1007*I1002+1.3*L1007*K1002+S1007*H1002),4)</f>
        <v>345.69749999999999</v>
      </c>
      <c r="U1007" s="48">
        <f>ROUND((M1007*0.9*I1002+1.3*M1007*0.9*K1002+S1007*H1002),4)</f>
        <v>371.29050000000001</v>
      </c>
      <c r="V1007" s="48">
        <f>ROUND((M1007*I1002+1.3*M1007*K1002+S1007*H1002),4)</f>
        <v>402.94499999999999</v>
      </c>
      <c r="W1007" s="48">
        <f>ROUND((L1007*J1002+1.3*L1007*N1002+S1007*G1002),4)</f>
        <v>29.43</v>
      </c>
      <c r="X1007" s="48">
        <f>ROUND((M1007*0.9*J1002+1.3*M1007*0.9*N1002+S1007*G1002),4)</f>
        <v>31.481999999999999</v>
      </c>
      <c r="Y1007" s="48">
        <f>ROUND((M1007*J1002+1.3*M1007*N1002+S1007*G1002),4)</f>
        <v>34.020000000000003</v>
      </c>
      <c r="Z1007" s="49">
        <f>ROUND((P1002*T1007*F1002*O1002/1000000),4)</f>
        <v>5.1900000000000002E-2</v>
      </c>
      <c r="AA1007" s="49">
        <f>ROUND((Q1002*U1007*F1002*O1002/1000000),4)</f>
        <v>1.11E-2</v>
      </c>
      <c r="AB1007" s="49">
        <f>ROUND((R1002*V1007*F1002*O1002/1000000),4)</f>
        <v>1.21E-2</v>
      </c>
      <c r="AC1007" s="50" t="s">
        <v>170</v>
      </c>
      <c r="AD1007" s="51" t="s">
        <v>162</v>
      </c>
      <c r="AE1007" s="44">
        <f>ROUND((((X1007*E1002)/1800)),4)</f>
        <v>1.7500000000000002E-2</v>
      </c>
      <c r="AF1007" s="44">
        <f>ROUND(((Z1007+AA1007+AB1007)),4)</f>
        <v>7.51E-2</v>
      </c>
      <c r="AG1007" s="87"/>
      <c r="AH1007" s="87"/>
    </row>
    <row r="1008" spans="1:34" s="285" customFormat="1" ht="12.95" customHeight="1" x14ac:dyDescent="0.2">
      <c r="A1008" s="1057" t="s">
        <v>553</v>
      </c>
      <c r="B1008" s="1058"/>
      <c r="C1008" s="1058"/>
      <c r="D1008" s="1058"/>
      <c r="E1008" s="1058"/>
      <c r="F1008" s="1058"/>
      <c r="G1008" s="1058"/>
      <c r="H1008" s="1058"/>
      <c r="I1008" s="1058"/>
      <c r="J1008" s="1058"/>
      <c r="K1008" s="1058"/>
      <c r="L1008" s="1058"/>
      <c r="M1008" s="1058"/>
      <c r="N1008" s="1058"/>
      <c r="O1008" s="1058"/>
      <c r="P1008" s="1058"/>
      <c r="Q1008" s="1058"/>
      <c r="R1008" s="1058"/>
      <c r="S1008" s="1059"/>
      <c r="T1008" s="280">
        <f>ROUND((L1008*I1008+1.3*L1008*K1008+S1008*H1008),4)</f>
        <v>0</v>
      </c>
      <c r="U1008" s="280">
        <f>ROUND((M1008*I1008+1.3*M1008*K1008+S1008*H1008),4)</f>
        <v>0</v>
      </c>
      <c r="V1008" s="280">
        <f>ROUND((M1008*I1008+1.3*M1008*K1008+S1008*H1008),4)</f>
        <v>0</v>
      </c>
      <c r="W1008" s="280">
        <f>ROUND((L1008*J1008+1.3*L1008*N1008+S1008*G1008),4)</f>
        <v>0</v>
      </c>
      <c r="X1008" s="280">
        <f>ROUND((M1008*J1008+1.3*M1008*N1008+S1008*G1008),4)</f>
        <v>0</v>
      </c>
      <c r="Y1008" s="280">
        <f>ROUND((M1008*J1008+1.3*M1008*N1008+S1008*G1008),4)</f>
        <v>0</v>
      </c>
      <c r="Z1008" s="281">
        <f>ROUND((P1008*T1008*F1008*O1008/1000000),4)</f>
        <v>0</v>
      </c>
      <c r="AA1008" s="281">
        <f>ROUND((Q1008*U1008*F1008*O1008/1000000),4)</f>
        <v>0</v>
      </c>
      <c r="AB1008" s="281">
        <f>ROUND((R1008*V1008*F1008*O1008/1000000),4)</f>
        <v>0</v>
      </c>
      <c r="AC1008" s="282" t="s">
        <v>200</v>
      </c>
      <c r="AD1008" s="283" t="s">
        <v>153</v>
      </c>
      <c r="AE1008" s="284">
        <f>MAX(AE924,AE930,AE936,AE942,AE948,AE954,AE960,AE966,AE972,AE978,AE984,AE990,AE996,AE1002)</f>
        <v>0.12720000000000001</v>
      </c>
      <c r="AF1008" s="284">
        <f>AF924+AF930+AF936+AF942+AF948+AF954+AF960+AF966+AF972+AF978+AF984+AF990+AF996+AF1002</f>
        <v>3.66</v>
      </c>
    </row>
    <row r="1009" spans="1:34" s="285" customFormat="1" ht="12.95" customHeight="1" x14ac:dyDescent="0.2">
      <c r="A1009" s="1057"/>
      <c r="B1009" s="1060"/>
      <c r="C1009" s="1060"/>
      <c r="D1009" s="1060"/>
      <c r="E1009" s="1060"/>
      <c r="F1009" s="1060"/>
      <c r="G1009" s="1060"/>
      <c r="H1009" s="1060"/>
      <c r="I1009" s="1060"/>
      <c r="J1009" s="1060"/>
      <c r="K1009" s="1060"/>
      <c r="L1009" s="1060"/>
      <c r="M1009" s="1060"/>
      <c r="N1009" s="1060"/>
      <c r="O1009" s="1060"/>
      <c r="P1009" s="1060"/>
      <c r="Q1009" s="1060"/>
      <c r="R1009" s="1060"/>
      <c r="S1009" s="1061"/>
      <c r="T1009" s="286"/>
      <c r="U1009" s="286"/>
      <c r="V1009" s="286"/>
      <c r="W1009" s="286"/>
      <c r="X1009" s="286"/>
      <c r="Y1009" s="286"/>
      <c r="Z1009" s="286"/>
      <c r="AA1009" s="286"/>
      <c r="AB1009" s="286"/>
      <c r="AC1009" s="282" t="s">
        <v>201</v>
      </c>
      <c r="AD1009" s="283" t="s">
        <v>202</v>
      </c>
      <c r="AE1009" s="284">
        <f t="shared" ref="AE1009:AE1013" si="20">MAX(AE925,AE931,AE937,AE943,AE949,AE955,AE961,AE967,AE973,AE979,AE985,AE991,AE997,AE1003)</f>
        <v>2.07E-2</v>
      </c>
      <c r="AF1009" s="284">
        <f t="shared" ref="AF1009:AF1013" si="21">AF925+AF931+AF937+AF943+AF949+AF955+AF961+AF967+AF973+AF979+AF985+AF991+AF997+AF1003</f>
        <v>0.59460000000000002</v>
      </c>
    </row>
    <row r="1010" spans="1:34" s="285" customFormat="1" ht="12.95" customHeight="1" x14ac:dyDescent="0.2">
      <c r="A1010" s="1057"/>
      <c r="B1010" s="1060"/>
      <c r="C1010" s="1060"/>
      <c r="D1010" s="1060"/>
      <c r="E1010" s="1060"/>
      <c r="F1010" s="1060"/>
      <c r="G1010" s="1060"/>
      <c r="H1010" s="1060"/>
      <c r="I1010" s="1060"/>
      <c r="J1010" s="1060"/>
      <c r="K1010" s="1060"/>
      <c r="L1010" s="1060"/>
      <c r="M1010" s="1060"/>
      <c r="N1010" s="1060"/>
      <c r="O1010" s="1060"/>
      <c r="P1010" s="1060"/>
      <c r="Q1010" s="1060"/>
      <c r="R1010" s="1060"/>
      <c r="S1010" s="1061"/>
      <c r="T1010" s="280">
        <f>ROUND((L1010*I1008+1.3*L1010*K1008+S1010*H1008),4)</f>
        <v>0</v>
      </c>
      <c r="U1010" s="280">
        <f>ROUND((M1010*0.9*I1008+1.3*M1010*0.9*K1008+S1010*H1008),4)</f>
        <v>0</v>
      </c>
      <c r="V1010" s="280">
        <f>ROUND((M1010*I1008+1.3*M1010*K1008+S1010*H1008),4)</f>
        <v>0</v>
      </c>
      <c r="W1010" s="280">
        <f>ROUND((L1010*J1008+1.3*L1010*N1008+S1010*G1008),4)</f>
        <v>0</v>
      </c>
      <c r="X1010" s="280">
        <f>ROUND((M1010*0.9*J1008+1.3*M1010*0.9*N1008+S1010*G1008),4)</f>
        <v>0</v>
      </c>
      <c r="Y1010" s="280">
        <f>ROUND((M1010*J1008+1.3*M1010*N1008+S1010*G1008),4)</f>
        <v>0</v>
      </c>
      <c r="Z1010" s="281">
        <f>ROUND((P1008*T1010*F1008*O1008/1000000),4)</f>
        <v>0</v>
      </c>
      <c r="AA1010" s="281">
        <f>ROUND((Q1008*U1010*F1008*O1008/1000000),4)</f>
        <v>0</v>
      </c>
      <c r="AB1010" s="281">
        <f>ROUND((R1008*V1010*F1008*O1008/1000000),4)</f>
        <v>0</v>
      </c>
      <c r="AC1010" s="282" t="s">
        <v>203</v>
      </c>
      <c r="AD1010" s="283" t="s">
        <v>204</v>
      </c>
      <c r="AE1010" s="284">
        <f t="shared" si="20"/>
        <v>1.4500000000000001E-2</v>
      </c>
      <c r="AF1010" s="284">
        <f t="shared" si="21"/>
        <v>0.42320000000000008</v>
      </c>
    </row>
    <row r="1011" spans="1:34" s="285" customFormat="1" ht="12.95" customHeight="1" x14ac:dyDescent="0.2">
      <c r="A1011" s="1057"/>
      <c r="B1011" s="1060"/>
      <c r="C1011" s="1060"/>
      <c r="D1011" s="1060"/>
      <c r="E1011" s="1060"/>
      <c r="F1011" s="1060"/>
      <c r="G1011" s="1060"/>
      <c r="H1011" s="1060"/>
      <c r="I1011" s="1060"/>
      <c r="J1011" s="1060"/>
      <c r="K1011" s="1060"/>
      <c r="L1011" s="1060"/>
      <c r="M1011" s="1060"/>
      <c r="N1011" s="1060"/>
      <c r="O1011" s="1060"/>
      <c r="P1011" s="1060"/>
      <c r="Q1011" s="1060"/>
      <c r="R1011" s="1060"/>
      <c r="S1011" s="1061"/>
      <c r="T1011" s="280">
        <f>ROUND((L1011*I1008+1.3*L1011*K1008+S1011*H1008),4)</f>
        <v>0</v>
      </c>
      <c r="U1011" s="280">
        <f>ROUND((M1011*0.9*I1008+1.3*M1011*0.9*K1008+S1011*H1008),4)</f>
        <v>0</v>
      </c>
      <c r="V1011" s="280">
        <f>ROUND((M1011*I1008+1.3*M1011*K1008+S1011*H1008),4)</f>
        <v>0</v>
      </c>
      <c r="W1011" s="280">
        <f>ROUND((L1011*J1008+1.3*L1011*N1008+S1011*G1008),4)</f>
        <v>0</v>
      </c>
      <c r="X1011" s="280">
        <f>ROUND((M1011*0.9*J1008+1.3*M1011*0.9*N1008+S1011*G1008),4)</f>
        <v>0</v>
      </c>
      <c r="Y1011" s="280">
        <f>ROUND((M1011*J1008+1.3*N1008+S1011*G1008),4)</f>
        <v>0</v>
      </c>
      <c r="Z1011" s="281">
        <f>ROUND((P1008*T1011*F1008*O1008/1000000),4)</f>
        <v>0</v>
      </c>
      <c r="AA1011" s="281">
        <f>ROUND((Q1008*U1011*F1008*O1008/1000000),4)</f>
        <v>0</v>
      </c>
      <c r="AB1011" s="281">
        <f>ROUND((R1008*V1011*F1008*O1008/1000000),4)</f>
        <v>0</v>
      </c>
      <c r="AC1011" s="282" t="s">
        <v>205</v>
      </c>
      <c r="AD1011" s="283" t="s">
        <v>206</v>
      </c>
      <c r="AE1011" s="284">
        <f t="shared" si="20"/>
        <v>3.32E-2</v>
      </c>
      <c r="AF1011" s="284">
        <f t="shared" si="21"/>
        <v>0.87639999999999985</v>
      </c>
    </row>
    <row r="1012" spans="1:34" s="285" customFormat="1" ht="12.95" customHeight="1" x14ac:dyDescent="0.2">
      <c r="A1012" s="1057"/>
      <c r="B1012" s="1060"/>
      <c r="C1012" s="1060"/>
      <c r="D1012" s="1060"/>
      <c r="E1012" s="1060"/>
      <c r="F1012" s="1060"/>
      <c r="G1012" s="1060"/>
      <c r="H1012" s="1060"/>
      <c r="I1012" s="1060"/>
      <c r="J1012" s="1060"/>
      <c r="K1012" s="1060"/>
      <c r="L1012" s="1060"/>
      <c r="M1012" s="1060"/>
      <c r="N1012" s="1060"/>
      <c r="O1012" s="1060"/>
      <c r="P1012" s="1060"/>
      <c r="Q1012" s="1060"/>
      <c r="R1012" s="1060"/>
      <c r="S1012" s="1061"/>
      <c r="T1012" s="280">
        <f>ROUND((L1012*I1008+1.3*L1012*K1008+S1012*H1008),4)</f>
        <v>0</v>
      </c>
      <c r="U1012" s="280">
        <f>ROUND((M1012*0.9*I1008+1.3*M1012*0.9*K1008+S1012*H1008),4)</f>
        <v>0</v>
      </c>
      <c r="V1012" s="280">
        <f>ROUND((M1012*I1008+1.3*M1012*K1008+S1012*H1008),4)</f>
        <v>0</v>
      </c>
      <c r="W1012" s="280">
        <f>ROUND((L1012*J1008+1.3*L1012*N1008+S1012*G1008),4)</f>
        <v>0</v>
      </c>
      <c r="X1012" s="280">
        <f>ROUND((M1012*0.9*J1008+1.3*M1012*0.9*N1008+S1012*G1008),4)</f>
        <v>0</v>
      </c>
      <c r="Y1012" s="280">
        <f>ROUND((M1012*J1008+1.3*M1012*N1008+S1012*G1008),4)</f>
        <v>0</v>
      </c>
      <c r="Z1012" s="281">
        <f>ROUND((P1008*T1012*F1008*O1008/1000000),4)</f>
        <v>0</v>
      </c>
      <c r="AA1012" s="281">
        <f>ROUND((Q1008*U1012*F1008*O1008/1000000),4)</f>
        <v>0</v>
      </c>
      <c r="AB1012" s="281">
        <f>ROUND((R1008*V1012*F1008*O1008/1000000),4)</f>
        <v>0</v>
      </c>
      <c r="AC1012" s="282" t="s">
        <v>250</v>
      </c>
      <c r="AD1012" s="283" t="s">
        <v>208</v>
      </c>
      <c r="AE1012" s="284">
        <f t="shared" si="20"/>
        <v>2.3800000000000002E-2</v>
      </c>
      <c r="AF1012" s="284">
        <f t="shared" si="21"/>
        <v>0.55070000000000019</v>
      </c>
    </row>
    <row r="1013" spans="1:34" s="285" customFormat="1" ht="12.95" customHeight="1" x14ac:dyDescent="0.2">
      <c r="A1013" s="1062"/>
      <c r="B1013" s="1063"/>
      <c r="C1013" s="1063"/>
      <c r="D1013" s="1063"/>
      <c r="E1013" s="1063"/>
      <c r="F1013" s="1063"/>
      <c r="G1013" s="1063"/>
      <c r="H1013" s="1063"/>
      <c r="I1013" s="1063"/>
      <c r="J1013" s="1063"/>
      <c r="K1013" s="1063"/>
      <c r="L1013" s="1063"/>
      <c r="M1013" s="1063"/>
      <c r="N1013" s="1063"/>
      <c r="O1013" s="1063"/>
      <c r="P1013" s="1063"/>
      <c r="Q1013" s="1063"/>
      <c r="R1013" s="1063"/>
      <c r="S1013" s="1064"/>
      <c r="T1013" s="280">
        <f>ROUND((L1013*I1008+1.3*L1013*K1008+S1013*H1008),4)</f>
        <v>0</v>
      </c>
      <c r="U1013" s="280">
        <f>ROUND((M1013*0.9*I1008+1.3*M1013*0.9*K1008+S1013*H1008),4)</f>
        <v>0</v>
      </c>
      <c r="V1013" s="280">
        <f>ROUND((M1013*I1008+1.3*M1013*K1008+S1013*H1008),4)</f>
        <v>0</v>
      </c>
      <c r="W1013" s="280">
        <f>ROUND((L1013*J1008+1.3*L1013*N1008+S1013*G1008),4)</f>
        <v>0</v>
      </c>
      <c r="X1013" s="280">
        <f>ROUND((M1013*0.9*J1008+1.3*M1013*0.9*N1008+S1013*G1008),4)</f>
        <v>0</v>
      </c>
      <c r="Y1013" s="280">
        <f>ROUND((M1013*J1008+1.3*M1013*N1008+S1013*G1008),4)</f>
        <v>0</v>
      </c>
      <c r="Z1013" s="281">
        <f>ROUND((P1008*T1013*F1008*O1008/1000000),4)</f>
        <v>0</v>
      </c>
      <c r="AA1013" s="281">
        <f>ROUND((Q1008*U1013*F1008*O1008/1000000),4)</f>
        <v>0</v>
      </c>
      <c r="AB1013" s="281">
        <f>ROUND((R1008*V1013*F1008*O1008/1000000),4)</f>
        <v>0</v>
      </c>
      <c r="AC1013" s="282" t="s">
        <v>170</v>
      </c>
      <c r="AD1013" s="283" t="s">
        <v>162</v>
      </c>
      <c r="AE1013" s="284">
        <f t="shared" si="20"/>
        <v>0.12039999999999999</v>
      </c>
      <c r="AF1013" s="284">
        <f t="shared" si="21"/>
        <v>2.9476999999999993</v>
      </c>
      <c r="AG1013" s="290">
        <f>SUM(AE1008:AE1013)</f>
        <v>0.33980000000000005</v>
      </c>
      <c r="AH1013" s="290">
        <f>SUM(AF1008:AF1013)</f>
        <v>9.0525999999999982</v>
      </c>
    </row>
    <row r="1014" spans="1:34" s="285" customFormat="1" ht="12.95" customHeight="1" x14ac:dyDescent="0.2">
      <c r="A1014" s="1068" t="s">
        <v>121</v>
      </c>
      <c r="B1014" s="1069"/>
      <c r="C1014" s="1069"/>
      <c r="D1014" s="1069"/>
      <c r="E1014" s="1069"/>
      <c r="F1014" s="1069"/>
      <c r="G1014" s="1069"/>
      <c r="H1014" s="1069"/>
      <c r="I1014" s="1069"/>
      <c r="J1014" s="1069"/>
      <c r="K1014" s="1069"/>
      <c r="L1014" s="1069"/>
      <c r="M1014" s="1069"/>
      <c r="N1014" s="1069"/>
      <c r="O1014" s="1069"/>
      <c r="P1014" s="1069"/>
      <c r="Q1014" s="1069"/>
      <c r="R1014" s="1069"/>
      <c r="S1014" s="1069"/>
      <c r="T1014" s="1069"/>
      <c r="U1014" s="1069"/>
      <c r="V1014" s="1069"/>
      <c r="W1014" s="1069"/>
      <c r="X1014" s="1069"/>
      <c r="Y1014" s="1069"/>
      <c r="Z1014" s="1069"/>
      <c r="AA1014" s="1069"/>
      <c r="AB1014" s="1069"/>
      <c r="AC1014" s="1069"/>
      <c r="AD1014" s="1069"/>
      <c r="AE1014" s="1069"/>
      <c r="AF1014" s="1070"/>
    </row>
    <row r="1015" spans="1:34" ht="12.95" customHeight="1" x14ac:dyDescent="0.25">
      <c r="A1015" s="45">
        <v>8030</v>
      </c>
      <c r="B1015" s="46" t="s">
        <v>218</v>
      </c>
      <c r="C1015" s="45">
        <v>4</v>
      </c>
      <c r="D1015" s="45" t="s">
        <v>199</v>
      </c>
      <c r="E1015" s="45">
        <v>1</v>
      </c>
      <c r="F1015" s="45">
        <v>3</v>
      </c>
      <c r="G1015" s="45">
        <v>6</v>
      </c>
      <c r="H1015" s="45">
        <v>60</v>
      </c>
      <c r="I1015" s="45">
        <f>(8-1-0.75*2)*60*F1015-K1015-8*0.12*60</f>
        <v>288.89999999999998</v>
      </c>
      <c r="J1015" s="45">
        <v>14</v>
      </c>
      <c r="K1015" s="45">
        <f>(8-1-0.75*2)*0.65*60*F1015</f>
        <v>643.5</v>
      </c>
      <c r="L1015" s="45">
        <v>2.4700000000000002</v>
      </c>
      <c r="M1015" s="45">
        <v>2.4700000000000002</v>
      </c>
      <c r="N1015" s="45">
        <v>10</v>
      </c>
      <c r="O1015" s="45">
        <f>E1015/F1015</f>
        <v>0.33333333333333331</v>
      </c>
      <c r="P1015" s="45">
        <v>180</v>
      </c>
      <c r="Q1015" s="45">
        <v>30</v>
      </c>
      <c r="R1015" s="47">
        <v>0</v>
      </c>
      <c r="S1015" s="45">
        <v>0.48</v>
      </c>
      <c r="T1015" s="48">
        <f>ROUND((L1015*I1015+1.3*L1015*K1015+S1015*H1015),4)</f>
        <v>2808.6615000000002</v>
      </c>
      <c r="U1015" s="48">
        <f>ROUND((M1015*I1015+1.3*M1015*K1015+S1015*H1015),4)</f>
        <v>2808.6615000000002</v>
      </c>
      <c r="V1015" s="48">
        <f>ROUND((M1015*I1015+1.3*M1015*K1015+S1015*H1015),4)</f>
        <v>2808.6615000000002</v>
      </c>
      <c r="W1015" s="48">
        <f>ROUND((L1015*J1015+1.3*L1015*N1015+S1015*G1015),4)</f>
        <v>69.569999999999993</v>
      </c>
      <c r="X1015" s="48">
        <f>ROUND((M1015*J1015+1.3*M1015*N1015+S1015*G1015),4)</f>
        <v>69.569999999999993</v>
      </c>
      <c r="Y1015" s="48">
        <f>ROUND((M1015*J1015+1.3*M1015*N1015+S1015*G1015),4)</f>
        <v>69.569999999999993</v>
      </c>
      <c r="Z1015" s="49">
        <f>ROUND((P1015*T1015*F1015*O1015/1000000),4)</f>
        <v>0.50560000000000005</v>
      </c>
      <c r="AA1015" s="49">
        <f>ROUND((Q1015*U1015*F1015*O1015/1000000),4)</f>
        <v>8.43E-2</v>
      </c>
      <c r="AB1015" s="49">
        <f>ROUND((R1015*V1015*F1015*O1015/1000000),4)</f>
        <v>0</v>
      </c>
      <c r="AC1015" s="50" t="s">
        <v>200</v>
      </c>
      <c r="AD1015" s="51" t="s">
        <v>153</v>
      </c>
      <c r="AE1015" s="44">
        <f>ROUND((((X1015*E1015)/1800)*0.8),4)</f>
        <v>3.09E-2</v>
      </c>
      <c r="AF1015" s="44">
        <f>ROUND(((Z1015+AA1015+AB1015)*0.8),4)</f>
        <v>0.47189999999999999</v>
      </c>
    </row>
    <row r="1016" spans="1:34" ht="12.95" customHeight="1" x14ac:dyDescent="0.25">
      <c r="A1016" s="63"/>
      <c r="B1016" s="53" t="s">
        <v>219</v>
      </c>
      <c r="C1016" s="52"/>
      <c r="D1016" s="52"/>
      <c r="E1016" s="52"/>
      <c r="F1016" s="63"/>
      <c r="G1016" s="52"/>
      <c r="H1016" s="52"/>
      <c r="I1016" s="52"/>
      <c r="J1016" s="52"/>
      <c r="K1016" s="52"/>
      <c r="L1016" s="52"/>
      <c r="M1016" s="52"/>
      <c r="N1016" s="52"/>
      <c r="O1016" s="52"/>
      <c r="P1016" s="52"/>
      <c r="Q1016" s="52"/>
      <c r="R1016" s="52"/>
      <c r="S1016" s="68"/>
      <c r="T1016" s="54"/>
      <c r="U1016" s="54"/>
      <c r="V1016" s="54"/>
      <c r="W1016" s="54"/>
      <c r="X1016" s="54"/>
      <c r="Y1016" s="54"/>
      <c r="Z1016" s="54"/>
      <c r="AA1016" s="54"/>
      <c r="AB1016" s="54"/>
      <c r="AC1016" s="50" t="s">
        <v>201</v>
      </c>
      <c r="AD1016" s="51" t="s">
        <v>202</v>
      </c>
      <c r="AE1016" s="44">
        <f>ROUND((((X1015*E1015)/1800)*0.13),4)</f>
        <v>5.0000000000000001E-3</v>
      </c>
      <c r="AF1016" s="44">
        <f>ROUND(((Z1015+AA1015+AB1015)*0.13),4)</f>
        <v>7.6700000000000004E-2</v>
      </c>
    </row>
    <row r="1017" spans="1:34" ht="12.95" customHeight="1" x14ac:dyDescent="0.25">
      <c r="A1017" s="63"/>
      <c r="B1017" s="53"/>
      <c r="C1017" s="55"/>
      <c r="D1017" s="55"/>
      <c r="E1017" s="52"/>
      <c r="F1017" s="63"/>
      <c r="G1017" s="52"/>
      <c r="H1017" s="52"/>
      <c r="I1017" s="52"/>
      <c r="J1017" s="52"/>
      <c r="K1017" s="52"/>
      <c r="L1017" s="52">
        <v>0.19</v>
      </c>
      <c r="M1017" s="52">
        <v>0.23</v>
      </c>
      <c r="N1017" s="52"/>
      <c r="O1017" s="52"/>
      <c r="P1017" s="52"/>
      <c r="Q1017" s="52"/>
      <c r="R1017" s="52"/>
      <c r="S1017" s="69">
        <v>9.7000000000000003E-2</v>
      </c>
      <c r="T1017" s="48">
        <f>ROUND((L1017*I1015+1.3*L1017*K1015+S1017*H1015),4)</f>
        <v>219.65549999999999</v>
      </c>
      <c r="U1017" s="48">
        <f>ROUND((M1017*0.9*I1015+1.3*M1017*0.9*K1015+S1017*H1015),4)</f>
        <v>238.78819999999999</v>
      </c>
      <c r="V1017" s="48">
        <f>ROUND((M1017*I1015+1.3*M1017*K1015+S1017*H1015),4)</f>
        <v>264.67349999999999</v>
      </c>
      <c r="W1017" s="48">
        <f>ROUND((L1017*J1015+1.3*L1017*N1015+S1017*G1015),4)</f>
        <v>5.7119999999999997</v>
      </c>
      <c r="X1017" s="48">
        <f>ROUND((M1017*0.9*J1015+1.3*M1017*0.9*N1015+S1017*G1015),4)</f>
        <v>6.1710000000000003</v>
      </c>
      <c r="Y1017" s="48">
        <f>ROUND((M1017*J1015+1.3*M1017*N1015+S1017*G1015),4)</f>
        <v>6.7919999999999998</v>
      </c>
      <c r="Z1017" s="49">
        <f>ROUND((P1015*T1017*F1015*O1015/1000000),4)</f>
        <v>3.95E-2</v>
      </c>
      <c r="AA1017" s="49">
        <f>ROUND((Q1015*U1017*F1015*O1015/1000000),4)</f>
        <v>7.1999999999999998E-3</v>
      </c>
      <c r="AB1017" s="49">
        <f>ROUND((R1015*V1017*F1015*O1015/1000000),4)</f>
        <v>0</v>
      </c>
      <c r="AC1017" s="50" t="s">
        <v>203</v>
      </c>
      <c r="AD1017" s="51" t="s">
        <v>204</v>
      </c>
      <c r="AE1017" s="44">
        <f>ROUND((((X1017*E1015)/1800)),4)</f>
        <v>3.3999999999999998E-3</v>
      </c>
      <c r="AF1017" s="44">
        <f>ROUND(((Z1017+AA1017+AB1017)),5)</f>
        <v>4.6699999999999998E-2</v>
      </c>
    </row>
    <row r="1018" spans="1:34" ht="12.95" customHeight="1" x14ac:dyDescent="0.25">
      <c r="A1018" s="63"/>
      <c r="B1018" s="98"/>
      <c r="C1018" s="52"/>
      <c r="D1018" s="52"/>
      <c r="E1018" s="52"/>
      <c r="F1018" s="63"/>
      <c r="G1018" s="52"/>
      <c r="H1018" s="52"/>
      <c r="I1018" s="52"/>
      <c r="J1018" s="52"/>
      <c r="K1018" s="52"/>
      <c r="L1018" s="52">
        <v>0.43</v>
      </c>
      <c r="M1018" s="52">
        <v>0.51</v>
      </c>
      <c r="N1018" s="52"/>
      <c r="O1018" s="52"/>
      <c r="P1018" s="52"/>
      <c r="Q1018" s="52"/>
      <c r="R1018" s="52"/>
      <c r="S1018" s="69">
        <v>0.3</v>
      </c>
      <c r="T1018" s="48">
        <f>ROUND((L1018*I1015+1.3*L1018*K1015+S1018*H1015),4)</f>
        <v>501.94349999999997</v>
      </c>
      <c r="U1018" s="48">
        <f>ROUND((M1018*0.9*I1015+1.3*M1018*0.9*K1015+S1018*H1015),4)</f>
        <v>534.58159999999998</v>
      </c>
      <c r="V1018" s="48">
        <f>ROUND((M1018*I1015+1.3*M1018*K1015+S1018*H1015),4)</f>
        <v>591.97950000000003</v>
      </c>
      <c r="W1018" s="48">
        <f>ROUND((L1018*J1015+1.3*L1018*N1015+S1018*G1015),4)</f>
        <v>13.41</v>
      </c>
      <c r="X1018" s="48">
        <f>ROUND((M1018*0.9*J1015+1.3*M1018*0.9*N1015+S1018*G1015),4)</f>
        <v>14.193</v>
      </c>
      <c r="Y1018" s="48">
        <f>ROUND((M1018*J1015+1.3*N1015+S1018*G1015),4)</f>
        <v>21.94</v>
      </c>
      <c r="Z1018" s="49">
        <f>ROUND((P1015*T1018*F1015*O1015/1000000),4)</f>
        <v>9.0300000000000005E-2</v>
      </c>
      <c r="AA1018" s="49">
        <f>ROUND((Q1015*U1018*F1015*O1015/1000000),4)</f>
        <v>1.6E-2</v>
      </c>
      <c r="AB1018" s="49">
        <f>ROUND((R1015*V1018*F1015*O1015/1000000),4)</f>
        <v>0</v>
      </c>
      <c r="AC1018" s="50" t="s">
        <v>205</v>
      </c>
      <c r="AD1018" s="51" t="s">
        <v>206</v>
      </c>
      <c r="AE1018" s="44">
        <f>ROUND((((X1018*E1015)/1800)),4)</f>
        <v>7.9000000000000008E-3</v>
      </c>
      <c r="AF1018" s="44">
        <f>ROUND(((Z1018+AA1018+AB1018)),4)</f>
        <v>0.10630000000000001</v>
      </c>
    </row>
    <row r="1019" spans="1:34" ht="12.95" customHeight="1" x14ac:dyDescent="0.25">
      <c r="A1019" s="63"/>
      <c r="B1019" s="53"/>
      <c r="C1019" s="52"/>
      <c r="D1019" s="52"/>
      <c r="E1019" s="52"/>
      <c r="F1019" s="63"/>
      <c r="G1019" s="52"/>
      <c r="H1019" s="52"/>
      <c r="I1019" s="52"/>
      <c r="J1019" s="52"/>
      <c r="K1019" s="52"/>
      <c r="L1019" s="52">
        <v>0.27</v>
      </c>
      <c r="M1019" s="52">
        <v>0.41</v>
      </c>
      <c r="N1019" s="52"/>
      <c r="O1019" s="52"/>
      <c r="P1019" s="52"/>
      <c r="Q1019" s="52"/>
      <c r="R1019" s="52"/>
      <c r="S1019" s="69">
        <v>0.06</v>
      </c>
      <c r="T1019" s="48">
        <f>ROUND((L1019*I1015+1.3*L1019*K1015+S1019*H1015),4)</f>
        <v>307.47149999999999</v>
      </c>
      <c r="U1019" s="48">
        <f>ROUND((M1019*0.9*I1015+1.3*M1019*0.9*K1015+S1019*H1015),4)</f>
        <v>418.89109999999999</v>
      </c>
      <c r="V1019" s="48">
        <f>ROUND((M1019*I1015+1.3*M1019*K1015+S1019*H1015),4)</f>
        <v>465.03449999999998</v>
      </c>
      <c r="W1019" s="48">
        <f>ROUND((L1019*J1015+1.3*L1019*N1015+S1019*G1015),4)</f>
        <v>7.65</v>
      </c>
      <c r="X1019" s="48">
        <f>ROUND((M1019*0.9*J1015+1.3*M1019*0.9*N1015+S1019*G1015),4)</f>
        <v>10.323</v>
      </c>
      <c r="Y1019" s="48">
        <f>ROUND((M1019*J1015+1.3*M1019*N1015+S1019*G1015),4)</f>
        <v>11.43</v>
      </c>
      <c r="Z1019" s="49">
        <f>ROUND((P1015*T1019*F1015*O1015/1000000),4)</f>
        <v>5.5300000000000002E-2</v>
      </c>
      <c r="AA1019" s="49">
        <f>ROUND((Q1015*U1019*F1015*O1015/1000000),4)</f>
        <v>1.26E-2</v>
      </c>
      <c r="AB1019" s="49">
        <f>ROUND((R1015*V1019*F1015*O1015/1000000),4)</f>
        <v>0</v>
      </c>
      <c r="AC1019" s="50" t="s">
        <v>250</v>
      </c>
      <c r="AD1019" s="51" t="s">
        <v>208</v>
      </c>
      <c r="AE1019" s="44">
        <f>ROUND((((X1019*E1015)/1800)),4)</f>
        <v>5.7000000000000002E-3</v>
      </c>
      <c r="AF1019" s="44">
        <f>ROUND(((Z1019+AA1019+AB1019)),4)</f>
        <v>6.7900000000000002E-2</v>
      </c>
    </row>
    <row r="1020" spans="1:34" ht="12.95" customHeight="1" x14ac:dyDescent="0.25">
      <c r="A1020" s="63"/>
      <c r="B1020" s="53"/>
      <c r="C1020" s="56"/>
      <c r="D1020" s="56"/>
      <c r="E1020" s="56"/>
      <c r="F1020" s="66"/>
      <c r="G1020" s="56"/>
      <c r="H1020" s="56"/>
      <c r="I1020" s="56"/>
      <c r="J1020" s="56"/>
      <c r="K1020" s="56"/>
      <c r="L1020" s="56">
        <v>1.29</v>
      </c>
      <c r="M1020" s="56">
        <v>1.57</v>
      </c>
      <c r="N1020" s="56"/>
      <c r="O1020" s="56"/>
      <c r="P1020" s="56"/>
      <c r="Q1020" s="56"/>
      <c r="R1020" s="56"/>
      <c r="S1020" s="69">
        <v>2.4</v>
      </c>
      <c r="T1020" s="70">
        <f>ROUND((L1020*I1015+1.3*L1020*K1015+S1020*H1015),4)</f>
        <v>1595.8305</v>
      </c>
      <c r="U1020" s="70">
        <f>ROUND((M1020*0.9*I1015+1.3*M1020*0.9*K1015+S1020*H1015),4)</f>
        <v>1734.2609</v>
      </c>
      <c r="V1020" s="70">
        <f>ROUND((M1020*I1015+1.3*M1020*K1015+S1020*H1015),4)</f>
        <v>1910.9565</v>
      </c>
      <c r="W1020" s="70">
        <f>ROUND((L1020*J1015+1.3*L1020*N1015+S1020*G1015),4)</f>
        <v>49.23</v>
      </c>
      <c r="X1020" s="70">
        <f>ROUND((M1020*0.9*J1015+1.3*M1020*0.9*N1015+S1020*G1015),4)</f>
        <v>52.551000000000002</v>
      </c>
      <c r="Y1020" s="70">
        <f>ROUND((M1020*J1015+1.3*M1020*N1015+S1020*G1015),4)</f>
        <v>56.79</v>
      </c>
      <c r="Z1020" s="71">
        <f>ROUND((P1015*T1020*F1015*O1015/1000000),4)</f>
        <v>0.28720000000000001</v>
      </c>
      <c r="AA1020" s="71">
        <f>ROUND((Q1015*U1020*F1015*O1015/1000000),4)</f>
        <v>5.1999999999999998E-2</v>
      </c>
      <c r="AB1020" s="71">
        <f>ROUND((R1015*V1020*F1015*O1015/1000000),4)</f>
        <v>0</v>
      </c>
      <c r="AC1020" s="50" t="s">
        <v>170</v>
      </c>
      <c r="AD1020" s="51" t="s">
        <v>162</v>
      </c>
      <c r="AE1020" s="44">
        <f>ROUND((((X1020*E1015)/1800)),4)</f>
        <v>2.92E-2</v>
      </c>
      <c r="AF1020" s="44">
        <f>ROUND(((Z1020+AA1020+AB1020)),4)</f>
        <v>0.3392</v>
      </c>
    </row>
    <row r="1021" spans="1:34" ht="12.95" customHeight="1" x14ac:dyDescent="0.25">
      <c r="A1021" s="63"/>
      <c r="B1021" s="46" t="s">
        <v>211</v>
      </c>
      <c r="C1021" s="46">
        <v>5</v>
      </c>
      <c r="D1021" s="45" t="s">
        <v>209</v>
      </c>
      <c r="E1021" s="45">
        <v>1</v>
      </c>
      <c r="F1021" s="45">
        <v>4</v>
      </c>
      <c r="G1021" s="45">
        <v>6</v>
      </c>
      <c r="H1021" s="45">
        <v>60</v>
      </c>
      <c r="I1021" s="45">
        <f>(8-1-0.75*2)*60*F1021-K1021-8*0.12*60</f>
        <v>404.4</v>
      </c>
      <c r="J1021" s="45">
        <v>14</v>
      </c>
      <c r="K1021" s="45">
        <f>(8-1-0.75*2)*0.65*60*F1021</f>
        <v>858</v>
      </c>
      <c r="L1021" s="48">
        <v>4.01</v>
      </c>
      <c r="M1021" s="48">
        <v>4.01</v>
      </c>
      <c r="N1021" s="45">
        <v>10</v>
      </c>
      <c r="O1021" s="45">
        <f>E1021/F1021</f>
        <v>0.25</v>
      </c>
      <c r="P1021" s="45">
        <v>180</v>
      </c>
      <c r="Q1021" s="45">
        <v>90</v>
      </c>
      <c r="R1021" s="47">
        <v>90</v>
      </c>
      <c r="S1021" s="47">
        <v>0.78</v>
      </c>
      <c r="T1021" s="48">
        <f>ROUND((L1021*I1021+1.3*L1021*K1021+S1021*H1021),4)</f>
        <v>6141.1980000000003</v>
      </c>
      <c r="U1021" s="48">
        <f>ROUND((M1021*I1021+1.3*M1021*K1021+S1021*H1021),4)</f>
        <v>6141.1980000000003</v>
      </c>
      <c r="V1021" s="48">
        <f>ROUND((M1021*I1021+1.3*M1021*K1021+S1021*H1021),4)</f>
        <v>6141.1980000000003</v>
      </c>
      <c r="W1021" s="48">
        <f>ROUND((L1021*J1021+1.3*L1021*N1021+S1021*G1021),4)</f>
        <v>112.95</v>
      </c>
      <c r="X1021" s="48">
        <f>ROUND((M1021*J1021+1.3*M1021*N1021+S1021*G1021),4)</f>
        <v>112.95</v>
      </c>
      <c r="Y1021" s="48">
        <f>ROUND((M1021*J1021+1.3*M1021*N1021+S1021*G1021),4)</f>
        <v>112.95</v>
      </c>
      <c r="Z1021" s="49">
        <f>ROUND((P1021*T1021*F1021*O1021/1000000),4)</f>
        <v>1.1053999999999999</v>
      </c>
      <c r="AA1021" s="49">
        <f>ROUND((Q1021*U1021*F1021*O1021/1000000),4)</f>
        <v>0.55269999999999997</v>
      </c>
      <c r="AB1021" s="49">
        <f>ROUND((R1021*V1021*F1021*O1021/1000000),4)</f>
        <v>0.55269999999999997</v>
      </c>
      <c r="AC1021" s="50" t="s">
        <v>200</v>
      </c>
      <c r="AD1021" s="51" t="s">
        <v>153</v>
      </c>
      <c r="AE1021" s="44">
        <f>ROUND((((X1021*E1021)/1800)*0.8),4)</f>
        <v>5.0200000000000002E-2</v>
      </c>
      <c r="AF1021" s="44">
        <f>ROUND(((Z1021+AA1021+AB1021)*0.8),4)</f>
        <v>1.7685999999999999</v>
      </c>
    </row>
    <row r="1022" spans="1:34" ht="12.95" customHeight="1" x14ac:dyDescent="0.25">
      <c r="A1022" s="63"/>
      <c r="B1022" s="73" t="s">
        <v>212</v>
      </c>
      <c r="C1022" s="53"/>
      <c r="D1022" s="52"/>
      <c r="E1022" s="52"/>
      <c r="F1022" s="52"/>
      <c r="G1022" s="52"/>
      <c r="H1022" s="52"/>
      <c r="I1022" s="52"/>
      <c r="J1022" s="52"/>
      <c r="K1022" s="52"/>
      <c r="L1022" s="56"/>
      <c r="M1022" s="56"/>
      <c r="N1022" s="52"/>
      <c r="O1022" s="52"/>
      <c r="P1022" s="63"/>
      <c r="Q1022" s="63"/>
      <c r="R1022" s="63"/>
      <c r="S1022" s="57"/>
      <c r="T1022" s="54"/>
      <c r="U1022" s="54"/>
      <c r="V1022" s="54"/>
      <c r="W1022" s="54"/>
      <c r="X1022" s="54"/>
      <c r="Y1022" s="54"/>
      <c r="Z1022" s="54"/>
      <c r="AA1022" s="54"/>
      <c r="AB1022" s="54"/>
      <c r="AC1022" s="50" t="s">
        <v>201</v>
      </c>
      <c r="AD1022" s="51" t="s">
        <v>202</v>
      </c>
      <c r="AE1022" s="44">
        <f>ROUND((((X1021*E1021)/1800)*0.13),4)</f>
        <v>8.2000000000000007E-3</v>
      </c>
      <c r="AF1022" s="44">
        <f>ROUND(((Z1021+AA1021+AB1021)*0.13),4)</f>
        <v>0.28739999999999999</v>
      </c>
    </row>
    <row r="1023" spans="1:34" ht="12.95" customHeight="1" x14ac:dyDescent="0.25">
      <c r="A1023" s="63"/>
      <c r="B1023" s="64"/>
      <c r="C1023" s="58"/>
      <c r="D1023" s="55"/>
      <c r="E1023" s="52"/>
      <c r="F1023" s="52"/>
      <c r="G1023" s="52"/>
      <c r="H1023" s="52"/>
      <c r="I1023" s="52"/>
      <c r="J1023" s="52"/>
      <c r="K1023" s="52"/>
      <c r="L1023" s="59">
        <v>0.31</v>
      </c>
      <c r="M1023" s="59">
        <v>0.38</v>
      </c>
      <c r="N1023" s="52"/>
      <c r="O1023" s="52"/>
      <c r="P1023" s="63"/>
      <c r="Q1023" s="63"/>
      <c r="R1023" s="63"/>
      <c r="S1023" s="60">
        <v>0.16</v>
      </c>
      <c r="T1023" s="48">
        <f>ROUND((L1023*I1021+1.3*L1023*K1021+S1023*H1021),4)</f>
        <v>480.738</v>
      </c>
      <c r="U1023" s="48">
        <f>ROUND((M1023*0.9*I1021+1.3*M1023*0.9*K1021+S1023*H1021),4)</f>
        <v>529.37159999999994</v>
      </c>
      <c r="V1023" s="48">
        <f>ROUND((M1023*I1021+1.3*M1023*K1021+S1023*H1021),4)</f>
        <v>587.12400000000002</v>
      </c>
      <c r="W1023" s="48">
        <f>ROUND((L1023*J1021+1.3*L1023*N1021+S1023*G1021),4)</f>
        <v>9.33</v>
      </c>
      <c r="X1023" s="48">
        <f>ROUND((M1023*0.9*J1021+1.3*M1023*0.9*N1021+S1023*G1021),4)</f>
        <v>10.194000000000001</v>
      </c>
      <c r="Y1023" s="48">
        <f>ROUND((M1023*J1021+1.3*M1023*N1021+S1023*G1021),4)</f>
        <v>11.22</v>
      </c>
      <c r="Z1023" s="49">
        <f>ROUND((P1021*T1023*F1021*O1021/1000000),4)</f>
        <v>8.6499999999999994E-2</v>
      </c>
      <c r="AA1023" s="49">
        <f>ROUND((Q1021*U1023*F1021*O1021/1000000),4)</f>
        <v>4.7600000000000003E-2</v>
      </c>
      <c r="AB1023" s="49">
        <f>ROUND((R1021*V1023*F1021*O1021/1000000),4)</f>
        <v>5.28E-2</v>
      </c>
      <c r="AC1023" s="50" t="s">
        <v>203</v>
      </c>
      <c r="AD1023" s="51" t="s">
        <v>204</v>
      </c>
      <c r="AE1023" s="44">
        <f>ROUND((((X1023*E1021)/1800)),4)</f>
        <v>5.7000000000000002E-3</v>
      </c>
      <c r="AF1023" s="44">
        <f>ROUND(((Z1023+AA1023+AB1023)),5)</f>
        <v>0.18690000000000001</v>
      </c>
    </row>
    <row r="1024" spans="1:34" ht="12.95" customHeight="1" x14ac:dyDescent="0.25">
      <c r="A1024" s="63"/>
      <c r="B1024" s="64"/>
      <c r="C1024" s="53"/>
      <c r="D1024" s="52"/>
      <c r="E1024" s="52"/>
      <c r="F1024" s="52"/>
      <c r="G1024" s="52"/>
      <c r="H1024" s="52"/>
      <c r="I1024" s="52"/>
      <c r="J1024" s="52"/>
      <c r="K1024" s="52"/>
      <c r="L1024" s="59">
        <v>0.71</v>
      </c>
      <c r="M1024" s="59">
        <v>0.85</v>
      </c>
      <c r="N1024" s="52"/>
      <c r="O1024" s="52"/>
      <c r="P1024" s="63"/>
      <c r="Q1024" s="63"/>
      <c r="R1024" s="63"/>
      <c r="S1024" s="61">
        <v>0.49</v>
      </c>
      <c r="T1024" s="48">
        <f>ROUND((L1024*I1021+1.3*L1024*K1021+S1024*H1021),4)</f>
        <v>1108.4580000000001</v>
      </c>
      <c r="U1024" s="48">
        <f>ROUND((M1024*0.9*I1021+1.3*M1024*0.9*K1021+S1024*H1021),4)</f>
        <v>1192.047</v>
      </c>
      <c r="V1024" s="48">
        <f>ROUND((M1024*I1021+1.3*M1024*K1021+S1024*H1021),4)</f>
        <v>1321.23</v>
      </c>
      <c r="W1024" s="48">
        <f>ROUND((L1024*J1021+1.3*L1024*N1021+S1024*G1021),4)</f>
        <v>22.11</v>
      </c>
      <c r="X1024" s="48">
        <f>ROUND((M1024*0.9*J1021+1.3*M1024*0.9*N1021+S1024*G1021),4)</f>
        <v>23.594999999999999</v>
      </c>
      <c r="Y1024" s="48">
        <f>ROUND((M1024*J1021+1.3*N1021+S1024*G1021),4)</f>
        <v>27.84</v>
      </c>
      <c r="Z1024" s="49">
        <f>ROUND((P1021*T1024*F1021*O1021/1000000),4)</f>
        <v>0.19950000000000001</v>
      </c>
      <c r="AA1024" s="49">
        <f>ROUND((Q1021*U1024*F1021*O1021/1000000),4)</f>
        <v>0.10730000000000001</v>
      </c>
      <c r="AB1024" s="49">
        <f>ROUND((R1021*V1024*F1021*O1021/1000000),4)</f>
        <v>0.11890000000000001</v>
      </c>
      <c r="AC1024" s="50" t="s">
        <v>205</v>
      </c>
      <c r="AD1024" s="51" t="s">
        <v>206</v>
      </c>
      <c r="AE1024" s="44">
        <f>ROUND((((X1024*E1021)/1800)),4)</f>
        <v>1.3100000000000001E-2</v>
      </c>
      <c r="AF1024" s="44">
        <f>ROUND(((Z1024+AA1024+AB1024)),4)</f>
        <v>0.42570000000000002</v>
      </c>
    </row>
    <row r="1025" spans="1:32" ht="12.95" customHeight="1" x14ac:dyDescent="0.25">
      <c r="A1025" s="63"/>
      <c r="B1025" s="64"/>
      <c r="C1025" s="53"/>
      <c r="D1025" s="52"/>
      <c r="E1025" s="52"/>
      <c r="F1025" s="52"/>
      <c r="G1025" s="52"/>
      <c r="H1025" s="52"/>
      <c r="I1025" s="52"/>
      <c r="J1025" s="52"/>
      <c r="K1025" s="52"/>
      <c r="L1025" s="59">
        <v>0.45</v>
      </c>
      <c r="M1025" s="59">
        <v>0.67</v>
      </c>
      <c r="N1025" s="52"/>
      <c r="O1025" s="52"/>
      <c r="P1025" s="63"/>
      <c r="Q1025" s="63"/>
      <c r="R1025" s="63"/>
      <c r="S1025" s="61">
        <v>0.1</v>
      </c>
      <c r="T1025" s="48">
        <f>ROUND((L1025*I1021+1.3*L1025*K1021+S1025*H1021),4)</f>
        <v>689.91</v>
      </c>
      <c r="U1025" s="48">
        <f>ROUND((M1025*0.9*I1021+1.3*M1025*0.9*K1021+S1025*H1021),4)</f>
        <v>922.43939999999998</v>
      </c>
      <c r="V1025" s="48">
        <f>ROUND((M1025*I1021+1.3*M1025*K1021+S1025*H1021),4)</f>
        <v>1024.2660000000001</v>
      </c>
      <c r="W1025" s="48">
        <f>ROUND((L1025*J1021+1.3*L1025*N1021+S1025*G1021),4)</f>
        <v>12.75</v>
      </c>
      <c r="X1025" s="48">
        <f>ROUND((M1025*0.9*J1021+1.3*M1025*0.9*N1021+S1025*G1021),4)</f>
        <v>16.881</v>
      </c>
      <c r="Y1025" s="48">
        <f>ROUND((M1025*J1021+1.3*M1025*N1021+S1025*G1021),4)</f>
        <v>18.690000000000001</v>
      </c>
      <c r="Z1025" s="49">
        <f>ROUND((P1021*T1025*F1021*O1021/1000000),4)</f>
        <v>0.1242</v>
      </c>
      <c r="AA1025" s="49">
        <f>ROUND((Q1021*U1025*F1021*O1021/1000000),4)</f>
        <v>8.3000000000000004E-2</v>
      </c>
      <c r="AB1025" s="49">
        <f>ROUND((R1021*V1025*F1021*O1021/1000000),4)</f>
        <v>9.2200000000000004E-2</v>
      </c>
      <c r="AC1025" s="50" t="s">
        <v>250</v>
      </c>
      <c r="AD1025" s="51" t="s">
        <v>208</v>
      </c>
      <c r="AE1025" s="44">
        <f>ROUND((((X1025*E1021)/1800)),4)</f>
        <v>9.4000000000000004E-3</v>
      </c>
      <c r="AF1025" s="44">
        <f>ROUND(((Z1025+AA1025+AB1025)),4)</f>
        <v>0.2994</v>
      </c>
    </row>
    <row r="1026" spans="1:32" ht="12.95" customHeight="1" x14ac:dyDescent="0.25">
      <c r="A1026" s="63"/>
      <c r="B1026" s="72"/>
      <c r="C1026" s="62"/>
      <c r="D1026" s="56"/>
      <c r="E1026" s="56"/>
      <c r="F1026" s="56"/>
      <c r="G1026" s="56"/>
      <c r="H1026" s="56"/>
      <c r="I1026" s="56"/>
      <c r="J1026" s="56"/>
      <c r="K1026" s="56"/>
      <c r="L1026" s="59">
        <v>2.09</v>
      </c>
      <c r="M1026" s="59">
        <v>2.5499999999999998</v>
      </c>
      <c r="N1026" s="56"/>
      <c r="O1026" s="56"/>
      <c r="P1026" s="66"/>
      <c r="Q1026" s="66"/>
      <c r="R1026" s="66"/>
      <c r="S1026" s="61">
        <v>3.91</v>
      </c>
      <c r="T1026" s="48">
        <f>ROUND((L1026*I1021+1.3*L1026*K1021+S1026*H1021),4)</f>
        <v>3410.982</v>
      </c>
      <c r="U1026" s="48">
        <f>ROUND((M1026*0.9*I1021+1.3*M1026*0.9*K1021+S1026*H1021),4)</f>
        <v>3722.5410000000002</v>
      </c>
      <c r="V1026" s="48">
        <f>ROUND((M1026*I1021+1.3*M1026*K1021+S1026*H1021),4)</f>
        <v>4110.09</v>
      </c>
      <c r="W1026" s="48">
        <f>ROUND((L1026*J1021+1.3*L1026*N1021+S1026*G1021),4)</f>
        <v>79.89</v>
      </c>
      <c r="X1026" s="48">
        <f>ROUND((M1026*0.9*J1021+1.3*M1026*0.9*N1021+S1026*G1021),4)</f>
        <v>85.424999999999997</v>
      </c>
      <c r="Y1026" s="48">
        <f>ROUND((M1026*J1021+1.3*M1026*N1021+S1026*G1021),4)</f>
        <v>92.31</v>
      </c>
      <c r="Z1026" s="49">
        <f>ROUND((P1021*T1026*F1021*O1021/1000000),4)</f>
        <v>0.61399999999999999</v>
      </c>
      <c r="AA1026" s="49">
        <f>ROUND((Q1021*U1026*F1021*O1021/1000000),4)</f>
        <v>0.33500000000000002</v>
      </c>
      <c r="AB1026" s="49">
        <f>ROUND((R1021*V1026*F1021*O1021/1000000),4)</f>
        <v>0.36990000000000001</v>
      </c>
      <c r="AC1026" s="50" t="s">
        <v>170</v>
      </c>
      <c r="AD1026" s="51" t="s">
        <v>162</v>
      </c>
      <c r="AE1026" s="44">
        <f>ROUND((((X1026*E1021)/1800)),4)</f>
        <v>4.7500000000000001E-2</v>
      </c>
      <c r="AF1026" s="44">
        <f>ROUND(((Z1026+AA1026+AB1026)),4)</f>
        <v>1.3189</v>
      </c>
    </row>
    <row r="1027" spans="1:32" ht="12.95" customHeight="1" x14ac:dyDescent="0.25">
      <c r="A1027" s="52"/>
      <c r="B1027" s="46" t="s">
        <v>211</v>
      </c>
      <c r="C1027" s="46">
        <v>6</v>
      </c>
      <c r="D1027" s="45" t="s">
        <v>210</v>
      </c>
      <c r="E1027" s="45">
        <v>1</v>
      </c>
      <c r="F1027" s="45">
        <v>4</v>
      </c>
      <c r="G1027" s="45">
        <v>6</v>
      </c>
      <c r="H1027" s="45">
        <v>60</v>
      </c>
      <c r="I1027" s="45">
        <f>(8-1-0.75*2)*60*F1027-K1027-8*0.12*60</f>
        <v>404.4</v>
      </c>
      <c r="J1027" s="45">
        <v>14</v>
      </c>
      <c r="K1027" s="45">
        <f>(8-1-0.75*2)*0.65*60*F1027</f>
        <v>858</v>
      </c>
      <c r="L1027" s="48">
        <v>6.47</v>
      </c>
      <c r="M1027" s="48">
        <v>6.47</v>
      </c>
      <c r="N1027" s="45">
        <v>10</v>
      </c>
      <c r="O1027" s="45">
        <f>E1027/F1027</f>
        <v>0.25</v>
      </c>
      <c r="P1027" s="45">
        <v>180</v>
      </c>
      <c r="Q1027" s="45">
        <v>90</v>
      </c>
      <c r="R1027" s="47">
        <v>90</v>
      </c>
      <c r="S1027" s="47">
        <v>1.27</v>
      </c>
      <c r="T1027" s="48">
        <f>ROUND((L1027*I1027+1.3*L1027*K1027+S1027*H1027),4)</f>
        <v>9909.3060000000005</v>
      </c>
      <c r="U1027" s="48">
        <f>ROUND((M1027*I1027+1.3*M1027*K1027+S1027*H1027),4)</f>
        <v>9909.3060000000005</v>
      </c>
      <c r="V1027" s="48">
        <f>ROUND((M1027*I1027+1.3*M1027*K1027+S1027*H1027),4)</f>
        <v>9909.3060000000005</v>
      </c>
      <c r="W1027" s="48">
        <f>ROUND((L1027*J1027+1.3*L1027*N1027+S1027*G1027),4)</f>
        <v>182.31</v>
      </c>
      <c r="X1027" s="48">
        <f>ROUND((M1027*J1027+1.3*M1027*N1027+S1027*G1027),4)</f>
        <v>182.31</v>
      </c>
      <c r="Y1027" s="48">
        <f>ROUND((M1027*J1027+1.3*M1027*N1027+S1027*G1027),4)</f>
        <v>182.31</v>
      </c>
      <c r="Z1027" s="49">
        <f>ROUND((P1027*T1027*F1027*O1027/1000000),4)</f>
        <v>1.7837000000000001</v>
      </c>
      <c r="AA1027" s="49">
        <f>ROUND((Q1027*U1027*F1027*O1027/1000000),4)</f>
        <v>0.89180000000000004</v>
      </c>
      <c r="AB1027" s="49">
        <f>ROUND((R1027*V1027*F1027*O1027/1000000),4)</f>
        <v>0.89180000000000004</v>
      </c>
      <c r="AC1027" s="50" t="s">
        <v>200</v>
      </c>
      <c r="AD1027" s="51" t="s">
        <v>153</v>
      </c>
      <c r="AE1027" s="44">
        <f>ROUND((((X1027*E1027)/1800)*0.8),4)</f>
        <v>8.1000000000000003E-2</v>
      </c>
      <c r="AF1027" s="44">
        <f>ROUND(((Z1027+AA1027+AB1027)*0.8),4)</f>
        <v>2.8538000000000001</v>
      </c>
    </row>
    <row r="1028" spans="1:32" ht="12.95" customHeight="1" x14ac:dyDescent="0.25">
      <c r="A1028" s="52"/>
      <c r="B1028" s="53" t="s">
        <v>213</v>
      </c>
      <c r="C1028" s="52"/>
      <c r="D1028" s="52"/>
      <c r="E1028" s="63"/>
      <c r="F1028" s="52"/>
      <c r="G1028" s="52"/>
      <c r="H1028" s="52"/>
      <c r="I1028" s="52"/>
      <c r="J1028" s="52"/>
      <c r="K1028" s="52"/>
      <c r="L1028" s="56"/>
      <c r="M1028" s="56"/>
      <c r="N1028" s="52"/>
      <c r="O1028" s="52"/>
      <c r="P1028" s="63"/>
      <c r="Q1028" s="63"/>
      <c r="R1028" s="63"/>
      <c r="S1028" s="57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0" t="s">
        <v>201</v>
      </c>
      <c r="AD1028" s="51" t="s">
        <v>202</v>
      </c>
      <c r="AE1028" s="44">
        <f>ROUND((((X1027*E1027)/1800)*0.13),4)</f>
        <v>1.32E-2</v>
      </c>
      <c r="AF1028" s="44">
        <f>ROUND(((Z1027+AA1027+AB1027)*0.13),4)</f>
        <v>0.4637</v>
      </c>
    </row>
    <row r="1029" spans="1:32" ht="12.95" customHeight="1" x14ac:dyDescent="0.25">
      <c r="A1029" s="52"/>
      <c r="B1029" s="98"/>
      <c r="C1029" s="55"/>
      <c r="D1029" s="55"/>
      <c r="E1029" s="63"/>
      <c r="F1029" s="63"/>
      <c r="G1029" s="52"/>
      <c r="H1029" s="52"/>
      <c r="I1029" s="52"/>
      <c r="J1029" s="52"/>
      <c r="K1029" s="52"/>
      <c r="L1029" s="59">
        <v>0.51</v>
      </c>
      <c r="M1029" s="59">
        <v>0.63</v>
      </c>
      <c r="N1029" s="52"/>
      <c r="O1029" s="52"/>
      <c r="P1029" s="63"/>
      <c r="Q1029" s="63"/>
      <c r="R1029" s="63"/>
      <c r="S1029" s="60">
        <v>0.25</v>
      </c>
      <c r="T1029" s="48">
        <f>ROUND((L1029*I1027+1.3*L1029*K1027+S1029*H1027),4)</f>
        <v>790.09799999999996</v>
      </c>
      <c r="U1029" s="48">
        <f>ROUND((M1029*0.9*I1027+1.3*M1029*0.9*K1027+S1029*H1027),4)</f>
        <v>876.72659999999996</v>
      </c>
      <c r="V1029" s="48">
        <f>ROUND((M1029*I1027+1.3*M1029*K1027+S1029*H1027),4)</f>
        <v>972.47400000000005</v>
      </c>
      <c r="W1029" s="48">
        <f>ROUND((L1029*J1027+1.3*L1029*N1027+S1029*G1027),4)</f>
        <v>15.27</v>
      </c>
      <c r="X1029" s="48">
        <f>ROUND((M1029*0.9*J1027+1.3*M1029*0.9*N1027+S1029*G1027),4)</f>
        <v>16.809000000000001</v>
      </c>
      <c r="Y1029" s="48">
        <f>ROUND((M1029*J1027+1.3*M1029*N1027+S1029*G1027),4)</f>
        <v>18.510000000000002</v>
      </c>
      <c r="Z1029" s="49">
        <f>ROUND((P1027*T1029*F1027*O1027/1000000),4)</f>
        <v>0.14219999999999999</v>
      </c>
      <c r="AA1029" s="49">
        <f>ROUND((Q1027*U1029*F1027*O1027/1000000),4)</f>
        <v>7.8899999999999998E-2</v>
      </c>
      <c r="AB1029" s="49">
        <f>ROUND((R1027*V1029*F1027*O1027/1000000),4)</f>
        <v>8.7499999999999994E-2</v>
      </c>
      <c r="AC1029" s="50" t="s">
        <v>203</v>
      </c>
      <c r="AD1029" s="51" t="s">
        <v>204</v>
      </c>
      <c r="AE1029" s="44">
        <f>ROUND((((X1029*E1027)/1800)),4)</f>
        <v>9.2999999999999992E-3</v>
      </c>
      <c r="AF1029" s="44">
        <f>ROUND(((Z1029+AA1029+AB1029)),5)</f>
        <v>0.30859999999999999</v>
      </c>
    </row>
    <row r="1030" spans="1:32" ht="12.95" customHeight="1" x14ac:dyDescent="0.25">
      <c r="A1030" s="52"/>
      <c r="B1030" s="53"/>
      <c r="C1030" s="52"/>
      <c r="D1030" s="52"/>
      <c r="E1030" s="63"/>
      <c r="F1030" s="63"/>
      <c r="G1030" s="52"/>
      <c r="H1030" s="52"/>
      <c r="I1030" s="52"/>
      <c r="J1030" s="52"/>
      <c r="K1030" s="52"/>
      <c r="L1030" s="59">
        <v>1.1399999999999999</v>
      </c>
      <c r="M1030" s="59">
        <v>1.37</v>
      </c>
      <c r="N1030" s="52"/>
      <c r="O1030" s="52"/>
      <c r="P1030" s="63"/>
      <c r="Q1030" s="63"/>
      <c r="R1030" s="63"/>
      <c r="S1030" s="61">
        <v>0.79</v>
      </c>
      <c r="T1030" s="48">
        <f>ROUND((L1030*I1027+1.3*L1030*K1027+S1030*H1027),4)</f>
        <v>1779.972</v>
      </c>
      <c r="U1030" s="48">
        <f>ROUND((M1030*0.9*I1027+1.3*M1030*0.9*K1027+S1030*H1027),4)</f>
        <v>1921.3134</v>
      </c>
      <c r="V1030" s="48">
        <f>ROUND((M1030*I1027+1.3*M1030*K1027+S1030*H1027),4)</f>
        <v>2129.5259999999998</v>
      </c>
      <c r="W1030" s="48">
        <f>ROUND((L1030*J1027+1.3*L1030*N1027+S1030*G1027),4)</f>
        <v>35.520000000000003</v>
      </c>
      <c r="X1030" s="48">
        <f>ROUND((M1030*0.9*J1027+1.3*M1030*0.9*N1027+S1030*G1027),4)</f>
        <v>38.030999999999999</v>
      </c>
      <c r="Y1030" s="48">
        <f>ROUND((M1030*J1027+1.3*N1027+S1030*G1027),4)</f>
        <v>36.92</v>
      </c>
      <c r="Z1030" s="49">
        <f>ROUND((P1027*T1030*F1027*O1027/1000000),4)</f>
        <v>0.32040000000000002</v>
      </c>
      <c r="AA1030" s="49">
        <f>ROUND((Q1027*U1030*F1027*O1027/1000000),4)</f>
        <v>0.1729</v>
      </c>
      <c r="AB1030" s="49">
        <f>ROUND((R1027*V1030*F1027*O1027/1000000),4)</f>
        <v>0.19170000000000001</v>
      </c>
      <c r="AC1030" s="50" t="s">
        <v>205</v>
      </c>
      <c r="AD1030" s="51" t="s">
        <v>206</v>
      </c>
      <c r="AE1030" s="44">
        <f>ROUND((((X1030*E1027)/1800)),4)</f>
        <v>2.1100000000000001E-2</v>
      </c>
      <c r="AF1030" s="44">
        <f>ROUND(((Z1030+AA1030+AB1030)),4)</f>
        <v>0.68500000000000005</v>
      </c>
    </row>
    <row r="1031" spans="1:32" ht="12.95" customHeight="1" x14ac:dyDescent="0.25">
      <c r="A1031" s="52"/>
      <c r="B1031" s="53"/>
      <c r="C1031" s="52"/>
      <c r="D1031" s="52"/>
      <c r="E1031" s="63"/>
      <c r="F1031" s="63"/>
      <c r="G1031" s="52"/>
      <c r="H1031" s="52"/>
      <c r="I1031" s="52"/>
      <c r="J1031" s="52"/>
      <c r="K1031" s="52"/>
      <c r="L1031" s="59">
        <v>0.72</v>
      </c>
      <c r="M1031" s="59">
        <v>1.08</v>
      </c>
      <c r="N1031" s="52"/>
      <c r="O1031" s="52"/>
      <c r="P1031" s="63"/>
      <c r="Q1031" s="63"/>
      <c r="R1031" s="63"/>
      <c r="S1031" s="61">
        <v>0.17</v>
      </c>
      <c r="T1031" s="48">
        <f>ROUND((L1031*I1027+1.3*L1031*K1027+S1031*H1027),4)</f>
        <v>1104.4559999999999</v>
      </c>
      <c r="U1031" s="48">
        <f>ROUND((M1031*0.9*I1027+1.3*M1031*0.9*K1027+S1031*H1027),4)</f>
        <v>1487.4456</v>
      </c>
      <c r="V1031" s="48">
        <f>ROUND((M1031*I1027+1.3*M1031*K1027+S1031*H1027),4)</f>
        <v>1651.5840000000001</v>
      </c>
      <c r="W1031" s="48">
        <f>ROUND((L1031*J1027+1.3*L1031*N1027+S1031*G1027),4)</f>
        <v>20.46</v>
      </c>
      <c r="X1031" s="48">
        <f>ROUND((M1031*0.9*J1027+1.3*M1031*0.9*N1027+S1031*G1027),4)</f>
        <v>27.263999999999999</v>
      </c>
      <c r="Y1031" s="48">
        <f>ROUND((M1031*J1027+1.3*M1031*N1027+S1031*G1027),4)</f>
        <v>30.18</v>
      </c>
      <c r="Z1031" s="49">
        <f>ROUND((P1027*T1031*F1027*O1027/1000000),4)</f>
        <v>0.1988</v>
      </c>
      <c r="AA1031" s="49">
        <f>ROUND((Q1027*U1031*F1027*O1027/1000000),4)</f>
        <v>0.13389999999999999</v>
      </c>
      <c r="AB1031" s="49">
        <f>ROUND((R1027*V1031*F1027*O1027/1000000),4)</f>
        <v>0.14860000000000001</v>
      </c>
      <c r="AC1031" s="50" t="s">
        <v>250</v>
      </c>
      <c r="AD1031" s="51" t="s">
        <v>208</v>
      </c>
      <c r="AE1031" s="44">
        <f>ROUND((((X1031*E1027)/1800)),4)</f>
        <v>1.5100000000000001E-2</v>
      </c>
      <c r="AF1031" s="44">
        <f>ROUND(((Z1031+AA1031+AB1031)),4)</f>
        <v>0.48130000000000001</v>
      </c>
    </row>
    <row r="1032" spans="1:32" ht="12.95" customHeight="1" x14ac:dyDescent="0.25">
      <c r="A1032" s="52"/>
      <c r="B1032" s="62"/>
      <c r="C1032" s="56"/>
      <c r="D1032" s="56"/>
      <c r="E1032" s="66"/>
      <c r="F1032" s="66"/>
      <c r="G1032" s="56"/>
      <c r="H1032" s="56"/>
      <c r="I1032" s="56"/>
      <c r="J1032" s="56"/>
      <c r="K1032" s="56"/>
      <c r="L1032" s="59">
        <v>3.37</v>
      </c>
      <c r="M1032" s="59">
        <v>4.1100000000000003</v>
      </c>
      <c r="N1032" s="56"/>
      <c r="O1032" s="56"/>
      <c r="P1032" s="66"/>
      <c r="Q1032" s="66"/>
      <c r="R1032" s="66"/>
      <c r="S1032" s="61">
        <v>6.31</v>
      </c>
      <c r="T1032" s="48">
        <f>ROUND((L1032*I1027+1.3*L1032*K1027+S1032*H1027),4)</f>
        <v>5500.326</v>
      </c>
      <c r="U1032" s="48">
        <f>ROUND((M1032*0.9*I1027+1.3*M1032*0.9*K1027+S1032*H1027),4)</f>
        <v>6000.3401999999996</v>
      </c>
      <c r="V1032" s="48">
        <f>ROUND((M1032*I1027+1.3*M1032*K1027+S1032*H1027),4)</f>
        <v>6624.9780000000001</v>
      </c>
      <c r="W1032" s="48">
        <f>ROUND((L1032*J1027+1.3*L1032*N1027+S1032*G1027),4)</f>
        <v>128.85</v>
      </c>
      <c r="X1032" s="48">
        <f>ROUND((M1032*0.9*J1027+1.3*M1032*0.9*N1027+S1032*G1027),4)</f>
        <v>137.733</v>
      </c>
      <c r="Y1032" s="48">
        <f>ROUND((M1032*J1027+1.3*M1032*N1027+S1032*G1027),4)</f>
        <v>148.83000000000001</v>
      </c>
      <c r="Z1032" s="49">
        <f>ROUND((P1027*T1032*F1027*O1027/1000000),4)</f>
        <v>0.99009999999999998</v>
      </c>
      <c r="AA1032" s="49">
        <f>ROUND((Q1027*U1032*F1027*O1027/1000000),4)</f>
        <v>0.54</v>
      </c>
      <c r="AB1032" s="49">
        <f>ROUND((R1027*V1032*F1027*O1027/1000000),4)</f>
        <v>0.59619999999999995</v>
      </c>
      <c r="AC1032" s="50" t="s">
        <v>170</v>
      </c>
      <c r="AD1032" s="51" t="s">
        <v>162</v>
      </c>
      <c r="AE1032" s="44">
        <f>ROUND((((X1032*E1027)/1800)),4)</f>
        <v>7.6499999999999999E-2</v>
      </c>
      <c r="AF1032" s="44">
        <f>ROUND(((Z1032+AA1032+AB1032)),4)</f>
        <v>2.1263000000000001</v>
      </c>
    </row>
    <row r="1033" spans="1:32" ht="12.95" customHeight="1" x14ac:dyDescent="0.25">
      <c r="A1033" s="52"/>
      <c r="B1033" s="67" t="s">
        <v>214</v>
      </c>
      <c r="C1033" s="46">
        <v>6</v>
      </c>
      <c r="D1033" s="45" t="s">
        <v>210</v>
      </c>
      <c r="E1033" s="45">
        <v>1</v>
      </c>
      <c r="F1033" s="45">
        <v>5</v>
      </c>
      <c r="G1033" s="45">
        <v>6</v>
      </c>
      <c r="H1033" s="45">
        <v>60</v>
      </c>
      <c r="I1033" s="45">
        <f>(8-1-0.75*2)*60*F1033-K1033-8*0.12*60</f>
        <v>519.9</v>
      </c>
      <c r="J1033" s="45">
        <v>14</v>
      </c>
      <c r="K1033" s="45">
        <f>(8-1-0.75*2)*0.65*60*F1033</f>
        <v>1072.5</v>
      </c>
      <c r="L1033" s="48">
        <v>6.47</v>
      </c>
      <c r="M1033" s="48">
        <v>6.47</v>
      </c>
      <c r="N1033" s="45">
        <v>10</v>
      </c>
      <c r="O1033" s="45">
        <f>E1033/F1033</f>
        <v>0.2</v>
      </c>
      <c r="P1033" s="45">
        <v>180</v>
      </c>
      <c r="Q1033" s="45">
        <v>30</v>
      </c>
      <c r="R1033" s="47">
        <v>30</v>
      </c>
      <c r="S1033" s="47">
        <v>1.27</v>
      </c>
      <c r="T1033" s="48">
        <f>ROUND((L1033*I1033+1.3*L1033*K1033+S1033*H1033),4)</f>
        <v>12460.7505</v>
      </c>
      <c r="U1033" s="48">
        <f>ROUND((M1033*I1033+1.3*M1033*K1033+S1033*H1033),4)</f>
        <v>12460.7505</v>
      </c>
      <c r="V1033" s="48">
        <f>ROUND((M1033*I1033+1.3*M1033*K1033+S1033*H1033),4)</f>
        <v>12460.7505</v>
      </c>
      <c r="W1033" s="48">
        <f>ROUND((L1033*J1033+1.3*L1033*N1033+S1033*G1033),4)</f>
        <v>182.31</v>
      </c>
      <c r="X1033" s="48">
        <f>ROUND((M1033*J1033+1.3*M1033*N1033+S1033*G1033),4)</f>
        <v>182.31</v>
      </c>
      <c r="Y1033" s="48">
        <f>ROUND((M1033*J1033+1.3*M1033*N1033+S1033*G1033),4)</f>
        <v>182.31</v>
      </c>
      <c r="Z1033" s="49">
        <f>ROUND((P1033*T1033*F1033*O1033/1000000),4)</f>
        <v>2.2429000000000001</v>
      </c>
      <c r="AA1033" s="49">
        <f>ROUND((Q1033*U1033*F1033*O1033/1000000),4)</f>
        <v>0.37380000000000002</v>
      </c>
      <c r="AB1033" s="49">
        <f>ROUND((R1033*V1033*F1033*O1033/1000000),4)</f>
        <v>0.37380000000000002</v>
      </c>
      <c r="AC1033" s="50" t="s">
        <v>200</v>
      </c>
      <c r="AD1033" s="51" t="s">
        <v>153</v>
      </c>
      <c r="AE1033" s="44">
        <f>ROUND((((X1033*E1033)/1800)*0.8),4)</f>
        <v>8.1000000000000003E-2</v>
      </c>
      <c r="AF1033" s="44">
        <f>ROUND(((Z1033+AA1033+AB1033)*0.8),4)</f>
        <v>2.3923999999999999</v>
      </c>
    </row>
    <row r="1034" spans="1:32" ht="12.95" customHeight="1" x14ac:dyDescent="0.25">
      <c r="A1034" s="52"/>
      <c r="B1034" s="53" t="s">
        <v>215</v>
      </c>
      <c r="C1034" s="52"/>
      <c r="D1034" s="52"/>
      <c r="E1034" s="52"/>
      <c r="F1034" s="52"/>
      <c r="G1034" s="52"/>
      <c r="H1034" s="52"/>
      <c r="I1034" s="52"/>
      <c r="J1034" s="52"/>
      <c r="K1034" s="52"/>
      <c r="L1034" s="56"/>
      <c r="M1034" s="56"/>
      <c r="N1034" s="52"/>
      <c r="O1034" s="52"/>
      <c r="P1034" s="63"/>
      <c r="Q1034" s="63"/>
      <c r="R1034" s="52"/>
      <c r="S1034" s="57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0" t="s">
        <v>201</v>
      </c>
      <c r="AD1034" s="51" t="s">
        <v>202</v>
      </c>
      <c r="AE1034" s="44">
        <f>ROUND((((X1033*E1033)/1800)*0.13),4)</f>
        <v>1.32E-2</v>
      </c>
      <c r="AF1034" s="44">
        <f>ROUND(((Z1033+AA1033+AB1033)*0.13),4)</f>
        <v>0.38879999999999998</v>
      </c>
    </row>
    <row r="1035" spans="1:32" ht="12.95" customHeight="1" x14ac:dyDescent="0.25">
      <c r="A1035" s="52"/>
      <c r="B1035" s="88"/>
      <c r="C1035" s="55"/>
      <c r="D1035" s="55"/>
      <c r="E1035" s="52"/>
      <c r="F1035" s="52"/>
      <c r="G1035" s="52"/>
      <c r="H1035" s="52"/>
      <c r="I1035" s="52"/>
      <c r="J1035" s="52"/>
      <c r="K1035" s="52"/>
      <c r="L1035" s="59">
        <v>0.51</v>
      </c>
      <c r="M1035" s="59">
        <v>0.63</v>
      </c>
      <c r="N1035" s="52"/>
      <c r="O1035" s="52"/>
      <c r="P1035" s="63"/>
      <c r="Q1035" s="63"/>
      <c r="R1035" s="52"/>
      <c r="S1035" s="60">
        <v>0.25</v>
      </c>
      <c r="T1035" s="48">
        <f>ROUND((L1035*I1033+1.3*L1035*K1033+S1035*H1033),4)</f>
        <v>991.2165</v>
      </c>
      <c r="U1035" s="48">
        <f>ROUND((M1035*0.9*I1033+1.3*M1035*0.9*K1033+S1035*H1033),4)</f>
        <v>1100.3231000000001</v>
      </c>
      <c r="V1035" s="48">
        <f>ROUND((M1035*I1033+1.3*M1035*K1033+S1035*H1033),4)</f>
        <v>1220.9145000000001</v>
      </c>
      <c r="W1035" s="48">
        <f>ROUND((L1035*J1033+1.3*L1035*N1033+S1035*G1033),4)</f>
        <v>15.27</v>
      </c>
      <c r="X1035" s="48">
        <f>ROUND((M1035*0.9*J1033+1.3*M1035*0.9*N1033+S1035*G1033),4)</f>
        <v>16.809000000000001</v>
      </c>
      <c r="Y1035" s="48">
        <f>ROUND((M1035*J1033+1.3*M1035*N1033+S1035*G1033),4)</f>
        <v>18.510000000000002</v>
      </c>
      <c r="Z1035" s="49">
        <f>ROUND((P1033*T1035*F1033*O1033/1000000),4)</f>
        <v>0.1784</v>
      </c>
      <c r="AA1035" s="49">
        <f>ROUND((Q1033*U1035*F1033*O1033/1000000),4)</f>
        <v>3.3000000000000002E-2</v>
      </c>
      <c r="AB1035" s="49">
        <f>ROUND((R1033*V1035*F1033*O1033/1000000),4)</f>
        <v>3.6600000000000001E-2</v>
      </c>
      <c r="AC1035" s="50" t="s">
        <v>203</v>
      </c>
      <c r="AD1035" s="51" t="s">
        <v>204</v>
      </c>
      <c r="AE1035" s="44">
        <f>ROUND((((X1035*E1033)/1800)),4)</f>
        <v>9.2999999999999992E-3</v>
      </c>
      <c r="AF1035" s="44">
        <f>ROUND(((Z1035+AA1035+AB1035)),5)</f>
        <v>0.248</v>
      </c>
    </row>
    <row r="1036" spans="1:32" ht="12.95" customHeight="1" x14ac:dyDescent="0.25">
      <c r="A1036" s="52"/>
      <c r="B1036" s="88"/>
      <c r="C1036" s="52"/>
      <c r="D1036" s="52"/>
      <c r="E1036" s="52"/>
      <c r="F1036" s="52"/>
      <c r="G1036" s="52"/>
      <c r="H1036" s="52"/>
      <c r="I1036" s="52"/>
      <c r="J1036" s="52"/>
      <c r="K1036" s="52"/>
      <c r="L1036" s="59">
        <v>1.1399999999999999</v>
      </c>
      <c r="M1036" s="59">
        <v>1.37</v>
      </c>
      <c r="N1036" s="52"/>
      <c r="O1036" s="52"/>
      <c r="P1036" s="63"/>
      <c r="Q1036" s="63"/>
      <c r="R1036" s="52"/>
      <c r="S1036" s="61">
        <v>0.79</v>
      </c>
      <c r="T1036" s="48">
        <f>ROUND((L1036*I1033+1.3*L1036*K1033+S1036*H1033),4)</f>
        <v>2229.5309999999999</v>
      </c>
      <c r="U1036" s="48">
        <f>ROUND((M1036*0.9*I1033+1.3*M1036*0.9*K1033+S1036*H1033),4)</f>
        <v>2407.547</v>
      </c>
      <c r="V1036" s="48">
        <f>ROUND((M1036*I1033+1.3*M1036*K1033+S1036*H1033),4)</f>
        <v>2669.7855</v>
      </c>
      <c r="W1036" s="48">
        <f>ROUND((L1036*J1033+1.3*L1036*N1033+S1036*G1033),4)</f>
        <v>35.520000000000003</v>
      </c>
      <c r="X1036" s="48">
        <f>ROUND((M1036*0.9*J1033+1.3*M1036*0.9*N1033+S1036*G1033),4)</f>
        <v>38.030999999999999</v>
      </c>
      <c r="Y1036" s="48">
        <f>ROUND((M1036*J1033+1.3*N1033+S1036*G1033),4)</f>
        <v>36.92</v>
      </c>
      <c r="Z1036" s="49">
        <f>ROUND((P1033*T1036*F1033*O1033/1000000),4)</f>
        <v>0.40129999999999999</v>
      </c>
      <c r="AA1036" s="49">
        <f>ROUND((Q1033*U1036*F1033*O1033/1000000),4)</f>
        <v>7.22E-2</v>
      </c>
      <c r="AB1036" s="49">
        <f>ROUND((R1033*V1036*F1033*O1033/1000000),4)</f>
        <v>8.0100000000000005E-2</v>
      </c>
      <c r="AC1036" s="50" t="s">
        <v>205</v>
      </c>
      <c r="AD1036" s="51" t="s">
        <v>206</v>
      </c>
      <c r="AE1036" s="44">
        <f>ROUND((((X1036*E1033)/1800)),4)</f>
        <v>2.1100000000000001E-2</v>
      </c>
      <c r="AF1036" s="44">
        <f>ROUND(((Z1036+AA1036+AB1036)),4)</f>
        <v>0.55359999999999998</v>
      </c>
    </row>
    <row r="1037" spans="1:32" ht="12.95" customHeight="1" x14ac:dyDescent="0.25">
      <c r="A1037" s="52"/>
      <c r="B1037" s="53"/>
      <c r="C1037" s="52"/>
      <c r="D1037" s="52"/>
      <c r="E1037" s="52"/>
      <c r="F1037" s="52"/>
      <c r="G1037" s="52"/>
      <c r="H1037" s="52"/>
      <c r="I1037" s="52"/>
      <c r="J1037" s="52"/>
      <c r="K1037" s="52"/>
      <c r="L1037" s="59">
        <v>0.72</v>
      </c>
      <c r="M1037" s="59">
        <v>1.08</v>
      </c>
      <c r="N1037" s="52"/>
      <c r="O1037" s="52"/>
      <c r="P1037" s="63"/>
      <c r="Q1037" s="63"/>
      <c r="R1037" s="52"/>
      <c r="S1037" s="61">
        <v>0.17</v>
      </c>
      <c r="T1037" s="48">
        <f>ROUND((L1037*I1033+1.3*L1037*K1033+S1037*H1033),4)</f>
        <v>1388.3879999999999</v>
      </c>
      <c r="U1037" s="48">
        <f>ROUND((M1037*0.9*I1033+1.3*M1037*0.9*K1033+S1037*H1033),4)</f>
        <v>1870.7538</v>
      </c>
      <c r="V1037" s="48">
        <f>ROUND((M1037*I1033+1.3*M1037*K1033+S1037*H1033),4)</f>
        <v>2077.482</v>
      </c>
      <c r="W1037" s="48">
        <f>ROUND((L1037*J1033+1.3*L1037*N1033+S1037*G1033),4)</f>
        <v>20.46</v>
      </c>
      <c r="X1037" s="48">
        <f>ROUND((M1037*0.9*J1033+1.3*M1037*0.9*N1033+S1037*G1033),4)</f>
        <v>27.263999999999999</v>
      </c>
      <c r="Y1037" s="48">
        <f>ROUND((M1037*J1033+1.3*M1037*N1033+S1037*G1033),4)</f>
        <v>30.18</v>
      </c>
      <c r="Z1037" s="49">
        <f>ROUND((P1033*T1037*F1033*O1033/1000000),4)</f>
        <v>0.24990000000000001</v>
      </c>
      <c r="AA1037" s="49">
        <f>ROUND((Q1033*U1037*F1033*O1033/1000000),4)</f>
        <v>5.6099999999999997E-2</v>
      </c>
      <c r="AB1037" s="49">
        <f>ROUND((R1033*V1037*F1033*O1033/1000000),4)</f>
        <v>6.2300000000000001E-2</v>
      </c>
      <c r="AC1037" s="50" t="s">
        <v>250</v>
      </c>
      <c r="AD1037" s="51" t="s">
        <v>208</v>
      </c>
      <c r="AE1037" s="44">
        <f>ROUND((((X1037*E1033)/1800)),4)</f>
        <v>1.5100000000000001E-2</v>
      </c>
      <c r="AF1037" s="44">
        <f>ROUND(((Z1037+AA1037+AB1037)),4)</f>
        <v>0.36830000000000002</v>
      </c>
    </row>
    <row r="1038" spans="1:32" ht="12.95" customHeight="1" x14ac:dyDescent="0.25">
      <c r="A1038" s="52"/>
      <c r="B1038" s="62"/>
      <c r="C1038" s="56"/>
      <c r="D1038" s="56"/>
      <c r="E1038" s="56"/>
      <c r="F1038" s="56"/>
      <c r="G1038" s="56"/>
      <c r="H1038" s="56"/>
      <c r="I1038" s="56"/>
      <c r="J1038" s="56"/>
      <c r="K1038" s="56"/>
      <c r="L1038" s="59">
        <v>3.37</v>
      </c>
      <c r="M1038" s="59">
        <v>4.1100000000000003</v>
      </c>
      <c r="N1038" s="56"/>
      <c r="O1038" s="56"/>
      <c r="P1038" s="66"/>
      <c r="Q1038" s="66"/>
      <c r="R1038" s="56"/>
      <c r="S1038" s="61">
        <v>6.31</v>
      </c>
      <c r="T1038" s="48">
        <f>ROUND((L1038*I1033+1.3*L1038*K1033+S1038*H1033),4)</f>
        <v>6829.2855</v>
      </c>
      <c r="U1038" s="48">
        <f>ROUND((M1038*0.9*I1033+1.3*M1038*0.9*K1033+S1038*H1033),4)</f>
        <v>7459.0409</v>
      </c>
      <c r="V1038" s="48">
        <f>ROUND((M1038*I1033+1.3*M1038*K1033+S1038*H1033),4)</f>
        <v>8245.7564999999995</v>
      </c>
      <c r="W1038" s="48">
        <f>ROUND((L1038*J1033+1.3*L1038*N1033+S1038*G1033),4)</f>
        <v>128.85</v>
      </c>
      <c r="X1038" s="48">
        <f>ROUND((M1038*0.9*J1033+1.3*M1038*0.9*N1033+S1038*G1033),4)</f>
        <v>137.733</v>
      </c>
      <c r="Y1038" s="48">
        <f>ROUND((M1038*J1033+1.3*M1038*N1033+S1038*G1033),4)</f>
        <v>148.83000000000001</v>
      </c>
      <c r="Z1038" s="49">
        <f>ROUND((P1033*T1038*F1033*O1033/1000000),4)</f>
        <v>1.2293000000000001</v>
      </c>
      <c r="AA1038" s="49">
        <f>ROUND((Q1033*U1038*F1033*O1033/1000000),4)</f>
        <v>0.2238</v>
      </c>
      <c r="AB1038" s="49">
        <f>ROUND((R1033*V1038*F1033*O1033/1000000),4)</f>
        <v>0.24740000000000001</v>
      </c>
      <c r="AC1038" s="50" t="s">
        <v>170</v>
      </c>
      <c r="AD1038" s="51" t="s">
        <v>162</v>
      </c>
      <c r="AE1038" s="44">
        <f>ROUND((((X1038*E1033)/1800)),4)</f>
        <v>7.6499999999999999E-2</v>
      </c>
      <c r="AF1038" s="44">
        <f>ROUND(((Z1038+AA1038+AB1038)),4)</f>
        <v>1.7004999999999999</v>
      </c>
    </row>
    <row r="1039" spans="1:32" ht="12.95" customHeight="1" x14ac:dyDescent="0.25">
      <c r="A1039" s="52"/>
      <c r="B1039" s="67" t="s">
        <v>214</v>
      </c>
      <c r="C1039" s="46">
        <v>7</v>
      </c>
      <c r="D1039" s="45" t="s">
        <v>217</v>
      </c>
      <c r="E1039" s="45">
        <v>1</v>
      </c>
      <c r="F1039" s="45">
        <v>5</v>
      </c>
      <c r="G1039" s="45">
        <v>6</v>
      </c>
      <c r="H1039" s="45">
        <v>60</v>
      </c>
      <c r="I1039" s="45">
        <f>(8-1-0.75*2)*60*F1039-K1039-8*0.12*60</f>
        <v>519.9</v>
      </c>
      <c r="J1039" s="45">
        <v>14</v>
      </c>
      <c r="K1039" s="45">
        <f>(8-1-0.75*2)*0.65*60*F1039</f>
        <v>1072.5</v>
      </c>
      <c r="L1039" s="48">
        <v>10.16</v>
      </c>
      <c r="M1039" s="48">
        <v>10.16</v>
      </c>
      <c r="N1039" s="45">
        <v>10</v>
      </c>
      <c r="O1039" s="45">
        <f>E1039/F1039</f>
        <v>0.2</v>
      </c>
      <c r="P1039" s="45">
        <v>180</v>
      </c>
      <c r="Q1039" s="45">
        <v>30</v>
      </c>
      <c r="R1039" s="47">
        <v>30</v>
      </c>
      <c r="S1039" s="47">
        <v>1.99</v>
      </c>
      <c r="T1039" s="48">
        <f>ROUND((L1039*I1039+1.3*L1039*K1039+S1039*H1039),4)</f>
        <v>19567.164000000001</v>
      </c>
      <c r="U1039" s="48">
        <f>ROUND((M1039*I1039+1.3*M1039*K1039+S1039*H1039),4)</f>
        <v>19567.164000000001</v>
      </c>
      <c r="V1039" s="48">
        <f>ROUND((M1039*I1039+1.3*M1039*K1039+S1039*H1039),4)</f>
        <v>19567.164000000001</v>
      </c>
      <c r="W1039" s="48">
        <f>ROUND((L1039*J1039+1.3*L1039*N1039+S1039*G1039),4)</f>
        <v>286.26</v>
      </c>
      <c r="X1039" s="48">
        <f>ROUND((M1039*J1039+1.3*M1039*N1039+S1039*G1039),4)</f>
        <v>286.26</v>
      </c>
      <c r="Y1039" s="48">
        <f>ROUND((M1039*J1039+1.3*M1039*N1039+S1039*G1039),4)</f>
        <v>286.26</v>
      </c>
      <c r="Z1039" s="49">
        <f>ROUND((P1039*T1039*F1039*O1039/1000000),4)</f>
        <v>3.5221</v>
      </c>
      <c r="AA1039" s="49">
        <f>ROUND((Q1039*U1039*F1039*O1039/1000000),4)</f>
        <v>0.58699999999999997</v>
      </c>
      <c r="AB1039" s="49">
        <f>ROUND((R1039*V1039*F1039*O1039/1000000),4)</f>
        <v>0.58699999999999997</v>
      </c>
      <c r="AC1039" s="50" t="s">
        <v>200</v>
      </c>
      <c r="AD1039" s="51" t="s">
        <v>153</v>
      </c>
      <c r="AE1039" s="44">
        <f>ROUND((((X1039*E1039)/1800)*0.8),4)</f>
        <v>0.12720000000000001</v>
      </c>
      <c r="AF1039" s="44">
        <f>ROUND(((Z1039+AA1039+AB1039)*0.8),4)</f>
        <v>3.7568999999999999</v>
      </c>
    </row>
    <row r="1040" spans="1:32" ht="12.95" customHeight="1" x14ac:dyDescent="0.25">
      <c r="A1040" s="52"/>
      <c r="B1040" s="53" t="s">
        <v>216</v>
      </c>
      <c r="C1040" s="52"/>
      <c r="D1040" s="52"/>
      <c r="E1040" s="52"/>
      <c r="F1040" s="52"/>
      <c r="G1040" s="52"/>
      <c r="H1040" s="52"/>
      <c r="I1040" s="52"/>
      <c r="J1040" s="52"/>
      <c r="K1040" s="52"/>
      <c r="L1040" s="56"/>
      <c r="M1040" s="56"/>
      <c r="N1040" s="52"/>
      <c r="O1040" s="52"/>
      <c r="P1040" s="52"/>
      <c r="Q1040" s="52"/>
      <c r="R1040" s="52"/>
      <c r="S1040" s="57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0" t="s">
        <v>201</v>
      </c>
      <c r="AD1040" s="51" t="s">
        <v>202</v>
      </c>
      <c r="AE1040" s="44">
        <f>ROUND((((X1039*E1039)/1800)*0.13),4)</f>
        <v>2.07E-2</v>
      </c>
      <c r="AF1040" s="44">
        <f>ROUND(((Z1039+AA1039+AB1039)*0.13),4)</f>
        <v>0.61050000000000004</v>
      </c>
    </row>
    <row r="1041" spans="1:32" ht="12.95" customHeight="1" x14ac:dyDescent="0.25">
      <c r="A1041" s="52"/>
      <c r="B1041" s="88"/>
      <c r="C1041" s="55"/>
      <c r="D1041" s="55"/>
      <c r="E1041" s="52"/>
      <c r="F1041" s="63"/>
      <c r="G1041" s="52"/>
      <c r="H1041" s="52"/>
      <c r="I1041" s="52"/>
      <c r="J1041" s="52"/>
      <c r="K1041" s="52"/>
      <c r="L1041" s="59">
        <v>0.8</v>
      </c>
      <c r="M1041" s="59">
        <v>0.98</v>
      </c>
      <c r="N1041" s="52"/>
      <c r="O1041" s="52"/>
      <c r="P1041" s="52"/>
      <c r="Q1041" s="52"/>
      <c r="R1041" s="52"/>
      <c r="S1041" s="60">
        <v>0.39</v>
      </c>
      <c r="T1041" s="48">
        <f>ROUND((L1041*I1039+1.3*L1041*K1039+S1041*H1039),4)</f>
        <v>1554.72</v>
      </c>
      <c r="U1041" s="48">
        <f>ROUND((M1041*0.9*I1039+1.3*M1041*0.9*K1039+S1041*H1039),4)</f>
        <v>1711.6803</v>
      </c>
      <c r="V1041" s="48">
        <f>ROUND((M1041*I1039+1.3*M1041*K1039+S1041*H1039),4)</f>
        <v>1899.2670000000001</v>
      </c>
      <c r="W1041" s="48">
        <f>ROUND((L1041*J1039+1.3*L1041*N1039+S1041*G1039),4)</f>
        <v>23.94</v>
      </c>
      <c r="X1041" s="48">
        <f>ROUND((M1041*0.9*J1039+1.3*M1041*0.9*N1039+S1041*G1039),4)</f>
        <v>26.154</v>
      </c>
      <c r="Y1041" s="48">
        <f>ROUND((M1041*J1039+1.3*M1041*N1039+S1041*G1039),4)</f>
        <v>28.8</v>
      </c>
      <c r="Z1041" s="49">
        <f>ROUND((P1039*T1041*F1039*O1039/1000000),4)</f>
        <v>0.27979999999999999</v>
      </c>
      <c r="AA1041" s="49">
        <f>ROUND((Q1039*U1041*F1039*O1039/1000000),4)</f>
        <v>5.1400000000000001E-2</v>
      </c>
      <c r="AB1041" s="49">
        <f>ROUND((R1039*V1041*F1039*O1039/1000000),4)</f>
        <v>5.7000000000000002E-2</v>
      </c>
      <c r="AC1041" s="50" t="s">
        <v>203</v>
      </c>
      <c r="AD1041" s="51" t="s">
        <v>204</v>
      </c>
      <c r="AE1041" s="44">
        <f>ROUND((((X1041*E1039)/1800)),4)</f>
        <v>1.4500000000000001E-2</v>
      </c>
      <c r="AF1041" s="44">
        <f>ROUND(((Z1041+AA1041+AB1041)),5)</f>
        <v>0.38819999999999999</v>
      </c>
    </row>
    <row r="1042" spans="1:32" ht="12.95" customHeight="1" x14ac:dyDescent="0.25">
      <c r="A1042" s="52"/>
      <c r="B1042" s="88"/>
      <c r="C1042" s="52"/>
      <c r="D1042" s="52"/>
      <c r="E1042" s="52"/>
      <c r="F1042" s="63"/>
      <c r="G1042" s="52"/>
      <c r="H1042" s="52"/>
      <c r="I1042" s="52"/>
      <c r="J1042" s="52"/>
      <c r="K1042" s="52"/>
      <c r="L1042" s="59">
        <v>1.79</v>
      </c>
      <c r="M1042" s="59">
        <v>2.15</v>
      </c>
      <c r="N1042" s="52"/>
      <c r="O1042" s="52"/>
      <c r="P1042" s="52"/>
      <c r="Q1042" s="52"/>
      <c r="R1042" s="52"/>
      <c r="S1042" s="61">
        <v>1.24</v>
      </c>
      <c r="T1042" s="48">
        <f>ROUND((L1042*I1039+1.3*L1042*K1039+S1042*H1039),4)</f>
        <v>3500.7285000000002</v>
      </c>
      <c r="U1042" s="48">
        <f>ROUND((M1042*0.9*I1039+1.3*M1042*0.9*K1039+S1042*H1039),4)</f>
        <v>3778.2802999999999</v>
      </c>
      <c r="V1042" s="48">
        <f>ROUND((M1042*I1039+1.3*M1042*K1039+S1042*H1039),4)</f>
        <v>4189.8225000000002</v>
      </c>
      <c r="W1042" s="48">
        <f>ROUND((L1042*J1039+1.3*L1042*N1039+S1042*G1039),4)</f>
        <v>55.77</v>
      </c>
      <c r="X1042" s="48">
        <f>ROUND((M1042*0.9*J1039+1.3*M1042*0.9*N1039+S1042*G1039),4)</f>
        <v>59.685000000000002</v>
      </c>
      <c r="Y1042" s="48">
        <f>ROUND((M1042*J1039+1.3*N1039+S1042*G1039),4)</f>
        <v>50.54</v>
      </c>
      <c r="Z1042" s="49">
        <f>ROUND((P1039*T1042*F1039*O1039/1000000),4)</f>
        <v>0.63009999999999999</v>
      </c>
      <c r="AA1042" s="49">
        <f>ROUND((Q1039*U1042*F1039*O1039/1000000),4)</f>
        <v>0.1133</v>
      </c>
      <c r="AB1042" s="49">
        <f>ROUND((R1039*V1042*F1039*O1039/1000000),4)</f>
        <v>0.12570000000000001</v>
      </c>
      <c r="AC1042" s="50" t="s">
        <v>205</v>
      </c>
      <c r="AD1042" s="51" t="s">
        <v>206</v>
      </c>
      <c r="AE1042" s="44">
        <f>ROUND((((X1042*E1039)/1800)),4)</f>
        <v>3.32E-2</v>
      </c>
      <c r="AF1042" s="44">
        <f>ROUND(((Z1042+AA1042+AB1042)),4)</f>
        <v>0.86909999999999998</v>
      </c>
    </row>
    <row r="1043" spans="1:32" ht="12.95" customHeight="1" x14ac:dyDescent="0.25">
      <c r="A1043" s="52"/>
      <c r="B1043" s="53"/>
      <c r="C1043" s="52"/>
      <c r="D1043" s="52"/>
      <c r="E1043" s="52"/>
      <c r="F1043" s="63"/>
      <c r="G1043" s="52"/>
      <c r="H1043" s="52"/>
      <c r="I1043" s="52"/>
      <c r="J1043" s="52"/>
      <c r="K1043" s="52"/>
      <c r="L1043" s="59">
        <v>1.1299999999999999</v>
      </c>
      <c r="M1043" s="59">
        <v>1.7</v>
      </c>
      <c r="N1043" s="52"/>
      <c r="O1043" s="52"/>
      <c r="P1043" s="52"/>
      <c r="Q1043" s="52"/>
      <c r="R1043" s="52"/>
      <c r="S1043" s="61">
        <v>0.26</v>
      </c>
      <c r="T1043" s="48">
        <f>ROUND((L1043*I1039+1.3*L1043*K1039+S1043*H1039),4)</f>
        <v>2178.5895</v>
      </c>
      <c r="U1043" s="48">
        <f>ROUND((M1043*0.9*I1039+1.3*M1043*0.9*K1039+S1043*H1039),4)</f>
        <v>2944.2494999999999</v>
      </c>
      <c r="V1043" s="48">
        <f>ROUND((M1043*I1039+1.3*M1043*K1039+S1043*H1039),4)</f>
        <v>3269.6550000000002</v>
      </c>
      <c r="W1043" s="48">
        <f>ROUND((L1043*J1039+1.3*L1043*N1039+S1043*G1039),4)</f>
        <v>32.07</v>
      </c>
      <c r="X1043" s="48">
        <f>ROUND((M1043*0.9*J1039+1.3*M1043*0.9*N1039+S1043*G1039),4)</f>
        <v>42.87</v>
      </c>
      <c r="Y1043" s="48">
        <f>ROUND((M1043*J1039+1.3*M1043*N1039+S1043*G1039),4)</f>
        <v>47.46</v>
      </c>
      <c r="Z1043" s="49">
        <f>ROUND((P1039*T1043*F1039*O1039/1000000),4)</f>
        <v>0.3921</v>
      </c>
      <c r="AA1043" s="49">
        <f>ROUND((Q1039*U1043*F1039*O1039/1000000),4)</f>
        <v>8.8300000000000003E-2</v>
      </c>
      <c r="AB1043" s="49">
        <f>ROUND((R1039*V1043*F1039*O1039/1000000),4)</f>
        <v>9.8100000000000007E-2</v>
      </c>
      <c r="AC1043" s="50" t="s">
        <v>250</v>
      </c>
      <c r="AD1043" s="51" t="s">
        <v>208</v>
      </c>
      <c r="AE1043" s="44">
        <f>ROUND((((X1043*E1039)/1800)),4)</f>
        <v>2.3800000000000002E-2</v>
      </c>
      <c r="AF1043" s="44">
        <f>ROUND(((Z1043+AA1043+AB1043)),4)</f>
        <v>0.57850000000000001</v>
      </c>
    </row>
    <row r="1044" spans="1:32" ht="12.95" customHeight="1" x14ac:dyDescent="0.25">
      <c r="A1044" s="52"/>
      <c r="B1044" s="62"/>
      <c r="C1044" s="56"/>
      <c r="D1044" s="56"/>
      <c r="E1044" s="56"/>
      <c r="F1044" s="66"/>
      <c r="G1044" s="56"/>
      <c r="H1044" s="56"/>
      <c r="I1044" s="56"/>
      <c r="J1044" s="56"/>
      <c r="K1044" s="56"/>
      <c r="L1044" s="59">
        <v>5.3</v>
      </c>
      <c r="M1044" s="59">
        <v>6.47</v>
      </c>
      <c r="N1044" s="56"/>
      <c r="O1044" s="56"/>
      <c r="P1044" s="56"/>
      <c r="Q1044" s="56"/>
      <c r="R1044" s="56"/>
      <c r="S1044" s="61">
        <v>9.92</v>
      </c>
      <c r="T1044" s="48">
        <f>ROUND((L1044*I1039+1.3*L1044*K1039+S1044*H1039),4)</f>
        <v>10740.195</v>
      </c>
      <c r="U1044" s="48">
        <f>ROUND((M1044*0.9*I1039+1.3*M1044*0.9*K1039+S1044*H1039),4)</f>
        <v>11741.2955</v>
      </c>
      <c r="V1044" s="48">
        <f>ROUND((M1044*I1039+1.3*M1044*K1039+S1044*H1039),4)</f>
        <v>12979.7505</v>
      </c>
      <c r="W1044" s="48">
        <f>ROUND((L1044*J1039+1.3*L1044*N1039+S1044*G1039),4)</f>
        <v>202.62</v>
      </c>
      <c r="X1044" s="48">
        <f>ROUND((M1044*0.9*J1039+1.3*M1044*0.9*N1039+S1044*G1039),4)</f>
        <v>216.74100000000001</v>
      </c>
      <c r="Y1044" s="48">
        <f>ROUND((M1044*J1039+1.3*M1044*N1039+S1044*G1039),4)</f>
        <v>234.21</v>
      </c>
      <c r="Z1044" s="49">
        <f>ROUND((P1039*T1044*F1039*O1039/1000000),4)</f>
        <v>1.9332</v>
      </c>
      <c r="AA1044" s="49">
        <f>ROUND((Q1039*U1044*F1039*O1039/1000000),4)</f>
        <v>0.35220000000000001</v>
      </c>
      <c r="AB1044" s="49">
        <f>ROUND((R1039*V1044*F1039*O1039/1000000),4)</f>
        <v>0.38940000000000002</v>
      </c>
      <c r="AC1044" s="50" t="s">
        <v>170</v>
      </c>
      <c r="AD1044" s="51" t="s">
        <v>162</v>
      </c>
      <c r="AE1044" s="44">
        <f>ROUND((((X1044*E1039)/1800)),4)</f>
        <v>0.12039999999999999</v>
      </c>
      <c r="AF1044" s="44">
        <f>ROUND(((Z1044+AA1044+AB1044)),4)</f>
        <v>2.6747999999999998</v>
      </c>
    </row>
    <row r="1045" spans="1:32" ht="12.95" customHeight="1" x14ac:dyDescent="0.25">
      <c r="A1045" s="52"/>
      <c r="B1045" s="67" t="s">
        <v>220</v>
      </c>
      <c r="C1045" s="46">
        <v>7</v>
      </c>
      <c r="D1045" s="45" t="s">
        <v>217</v>
      </c>
      <c r="E1045" s="45">
        <v>1</v>
      </c>
      <c r="F1045" s="45">
        <v>6</v>
      </c>
      <c r="G1045" s="45">
        <v>6</v>
      </c>
      <c r="H1045" s="45">
        <v>60</v>
      </c>
      <c r="I1045" s="45">
        <f>(8-1-0.75*2)*60*F1045-K1045-8*0.12*60</f>
        <v>635.4</v>
      </c>
      <c r="J1045" s="45">
        <v>14</v>
      </c>
      <c r="K1045" s="45">
        <f>(8-1-0.75*2)*0.65*60*F1045</f>
        <v>1287</v>
      </c>
      <c r="L1045" s="48">
        <v>10.16</v>
      </c>
      <c r="M1045" s="48">
        <v>10.16</v>
      </c>
      <c r="N1045" s="45">
        <v>10</v>
      </c>
      <c r="O1045" s="45">
        <f>E1045/F1045</f>
        <v>0.16666666666666666</v>
      </c>
      <c r="P1045" s="45">
        <v>150</v>
      </c>
      <c r="Q1045" s="45">
        <v>15</v>
      </c>
      <c r="R1045" s="47">
        <v>15</v>
      </c>
      <c r="S1045" s="47">
        <v>1.99</v>
      </c>
      <c r="T1045" s="48">
        <f>ROUND((L1045*I1045+1.3*L1045*K1045+S1045*H1045),4)</f>
        <v>23573.759999999998</v>
      </c>
      <c r="U1045" s="48">
        <f>ROUND((M1045*I1045+1.3*M1045*K1045+S1045*H1045),4)</f>
        <v>23573.759999999998</v>
      </c>
      <c r="V1045" s="48">
        <f>ROUND((M1045*I1045+1.3*M1045*K1045+S1045*H1045),4)</f>
        <v>23573.759999999998</v>
      </c>
      <c r="W1045" s="48">
        <f>ROUND((L1045*J1045+1.3*L1045*N1045+S1045*G1045),4)</f>
        <v>286.26</v>
      </c>
      <c r="X1045" s="48">
        <f>ROUND((M1045*J1045+1.3*M1045*N1045+S1045*G1045),4)</f>
        <v>286.26</v>
      </c>
      <c r="Y1045" s="48">
        <f>ROUND((M1045*J1045+1.3*M1045*N1045+S1045*G1045),4)</f>
        <v>286.26</v>
      </c>
      <c r="Z1045" s="49">
        <f>ROUND((P1045*T1045*F1045*O1045/1000000),4)</f>
        <v>3.5360999999999998</v>
      </c>
      <c r="AA1045" s="49">
        <f>ROUND((Q1045*U1045*F1045*O1045/1000000),4)</f>
        <v>0.35360000000000003</v>
      </c>
      <c r="AB1045" s="49">
        <f>ROUND((R1045*V1045*F1045*O1045/1000000),4)</f>
        <v>0.35360000000000003</v>
      </c>
      <c r="AC1045" s="50" t="s">
        <v>200</v>
      </c>
      <c r="AD1045" s="51" t="s">
        <v>153</v>
      </c>
      <c r="AE1045" s="44">
        <f>ROUND((((X1045*E1045)/1800)*0.8),4)</f>
        <v>0.12720000000000001</v>
      </c>
      <c r="AF1045" s="44">
        <f>ROUND(((Z1045+AA1045+AB1045)*0.8),4)</f>
        <v>3.3946000000000001</v>
      </c>
    </row>
    <row r="1046" spans="1:32" ht="12.95" customHeight="1" x14ac:dyDescent="0.25">
      <c r="A1046" s="52"/>
      <c r="B1046" s="53" t="s">
        <v>221</v>
      </c>
      <c r="C1046" s="52"/>
      <c r="D1046" s="52"/>
      <c r="E1046" s="52"/>
      <c r="F1046" s="52"/>
      <c r="G1046" s="52"/>
      <c r="H1046" s="52"/>
      <c r="I1046" s="52"/>
      <c r="J1046" s="52"/>
      <c r="K1046" s="52"/>
      <c r="L1046" s="56"/>
      <c r="M1046" s="56"/>
      <c r="N1046" s="52"/>
      <c r="O1046" s="52"/>
      <c r="P1046" s="52"/>
      <c r="Q1046" s="52"/>
      <c r="R1046" s="52"/>
      <c r="S1046" s="57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0" t="s">
        <v>201</v>
      </c>
      <c r="AD1046" s="51" t="s">
        <v>202</v>
      </c>
      <c r="AE1046" s="44">
        <f>ROUND((((X1045*E1045)/1800)*0.13),4)</f>
        <v>2.07E-2</v>
      </c>
      <c r="AF1046" s="44">
        <f>ROUND(((Z1045+AA1045+AB1045)*0.13),4)</f>
        <v>0.55159999999999998</v>
      </c>
    </row>
    <row r="1047" spans="1:32" ht="12.95" customHeight="1" x14ac:dyDescent="0.25">
      <c r="A1047" s="52"/>
      <c r="B1047" s="88"/>
      <c r="C1047" s="55"/>
      <c r="D1047" s="55"/>
      <c r="E1047" s="52"/>
      <c r="F1047" s="52"/>
      <c r="G1047" s="52"/>
      <c r="H1047" s="52"/>
      <c r="I1047" s="52"/>
      <c r="J1047" s="52"/>
      <c r="K1047" s="52"/>
      <c r="L1047" s="59">
        <v>0.8</v>
      </c>
      <c r="M1047" s="59">
        <v>0.98</v>
      </c>
      <c r="N1047" s="52"/>
      <c r="O1047" s="52"/>
      <c r="P1047" s="52"/>
      <c r="Q1047" s="52"/>
      <c r="R1047" s="52"/>
      <c r="S1047" s="60">
        <v>0.39</v>
      </c>
      <c r="T1047" s="48">
        <f>ROUND((L1047*I1045+1.3*L1047*K1045+S1047*H1045),4)</f>
        <v>1870.2</v>
      </c>
      <c r="U1047" s="48">
        <f>ROUND((M1047*0.9*I1045+1.3*M1047*0.9*K1045+S1047*H1045),4)</f>
        <v>2059.4969999999998</v>
      </c>
      <c r="V1047" s="48">
        <f>ROUND((M1047*I1045+1.3*M1047*K1045+S1047*H1045),4)</f>
        <v>2285.73</v>
      </c>
      <c r="W1047" s="48">
        <f>ROUND((L1047*J1045+1.3*L1047*N1045+S1047*G1045),4)</f>
        <v>23.94</v>
      </c>
      <c r="X1047" s="48">
        <f>ROUND((M1047*0.9*J1045+1.3*M1047*0.9*N1045+S1047*G1045),4)</f>
        <v>26.154</v>
      </c>
      <c r="Y1047" s="48">
        <f>ROUND((M1047*J1045+1.3*M1047*N1045+S1047*G1045),4)</f>
        <v>28.8</v>
      </c>
      <c r="Z1047" s="49">
        <f>ROUND((P1045*T1047*F1045*O1045/1000000),4)</f>
        <v>0.28050000000000003</v>
      </c>
      <c r="AA1047" s="49">
        <f>ROUND((Q1045*U1047*F1045*O1045/1000000),4)</f>
        <v>3.09E-2</v>
      </c>
      <c r="AB1047" s="49">
        <f>ROUND((R1045*V1047*F1045*O1045/1000000),4)</f>
        <v>3.4299999999999997E-2</v>
      </c>
      <c r="AC1047" s="50" t="s">
        <v>203</v>
      </c>
      <c r="AD1047" s="51" t="s">
        <v>204</v>
      </c>
      <c r="AE1047" s="44">
        <f>ROUND((((X1047*E1045)/1800)),4)</f>
        <v>1.4500000000000001E-2</v>
      </c>
      <c r="AF1047" s="44">
        <f>ROUND(((Z1047+AA1047+AB1047)),5)</f>
        <v>0.34570000000000001</v>
      </c>
    </row>
    <row r="1048" spans="1:32" ht="12.95" customHeight="1" x14ac:dyDescent="0.25">
      <c r="A1048" s="52"/>
      <c r="B1048" s="88"/>
      <c r="C1048" s="52"/>
      <c r="D1048" s="52"/>
      <c r="E1048" s="52"/>
      <c r="F1048" s="52"/>
      <c r="G1048" s="52"/>
      <c r="H1048" s="52"/>
      <c r="I1048" s="52"/>
      <c r="J1048" s="52"/>
      <c r="K1048" s="52"/>
      <c r="L1048" s="59">
        <v>1.79</v>
      </c>
      <c r="M1048" s="59">
        <v>2.15</v>
      </c>
      <c r="N1048" s="52"/>
      <c r="O1048" s="52"/>
      <c r="P1048" s="52"/>
      <c r="Q1048" s="52"/>
      <c r="R1048" s="52"/>
      <c r="S1048" s="61">
        <v>1.24</v>
      </c>
      <c r="T1048" s="48">
        <f>ROUND((L1048*I1045+1.3*L1048*K1045+S1048*H1045),4)</f>
        <v>4206.6149999999998</v>
      </c>
      <c r="U1048" s="48">
        <f>ROUND((M1048*0.9*I1045+1.3*M1048*0.9*K1045+S1048*H1045),4)</f>
        <v>4541.3474999999999</v>
      </c>
      <c r="V1048" s="48">
        <f>ROUND((M1048*I1045+1.3*M1048*K1045+S1048*H1045),4)</f>
        <v>5037.6750000000002</v>
      </c>
      <c r="W1048" s="48">
        <f>ROUND((L1048*J1045+1.3*L1048*N1045+S1048*G1045),4)</f>
        <v>55.77</v>
      </c>
      <c r="X1048" s="48">
        <f>ROUND((M1048*0.9*J1045+1.3*M1048*0.9*N1045+S1048*G1045),4)</f>
        <v>59.685000000000002</v>
      </c>
      <c r="Y1048" s="48">
        <f>ROUND((M1048*J1045+1.3*N1045+S1048*G1045),4)</f>
        <v>50.54</v>
      </c>
      <c r="Z1048" s="49">
        <f>ROUND((P1045*T1048*F1045*O1045/1000000),4)</f>
        <v>0.63100000000000001</v>
      </c>
      <c r="AA1048" s="49">
        <f>ROUND((Q1045*U1048*F1045*O1045/1000000),4)</f>
        <v>6.8099999999999994E-2</v>
      </c>
      <c r="AB1048" s="49">
        <f>ROUND((R1045*V1048*F1045*O1045/1000000),4)</f>
        <v>7.5600000000000001E-2</v>
      </c>
      <c r="AC1048" s="50" t="s">
        <v>205</v>
      </c>
      <c r="AD1048" s="51" t="s">
        <v>206</v>
      </c>
      <c r="AE1048" s="44">
        <f>ROUND((((X1048*E1045)/1800)),4)</f>
        <v>3.32E-2</v>
      </c>
      <c r="AF1048" s="44">
        <f>ROUND(((Z1048+AA1048+AB1048)),4)</f>
        <v>0.77470000000000006</v>
      </c>
    </row>
    <row r="1049" spans="1:32" ht="12.95" customHeight="1" x14ac:dyDescent="0.25">
      <c r="A1049" s="52"/>
      <c r="B1049" s="53"/>
      <c r="C1049" s="52"/>
      <c r="D1049" s="52"/>
      <c r="E1049" s="52"/>
      <c r="F1049" s="52"/>
      <c r="G1049" s="52"/>
      <c r="H1049" s="52"/>
      <c r="I1049" s="52"/>
      <c r="J1049" s="52"/>
      <c r="K1049" s="52"/>
      <c r="L1049" s="59">
        <v>1.1299999999999999</v>
      </c>
      <c r="M1049" s="59">
        <v>1.7</v>
      </c>
      <c r="N1049" s="52"/>
      <c r="O1049" s="52"/>
      <c r="P1049" s="52"/>
      <c r="Q1049" s="52"/>
      <c r="R1049" s="52"/>
      <c r="S1049" s="61">
        <v>0.26</v>
      </c>
      <c r="T1049" s="48">
        <f>ROUND((L1049*I1045+1.3*L1049*K1045+S1049*H1045),4)</f>
        <v>2624.2049999999999</v>
      </c>
      <c r="U1049" s="48">
        <f>ROUND((M1049*0.9*I1045+1.3*M1049*0.9*K1045+S1049*H1045),4)</f>
        <v>3547.605</v>
      </c>
      <c r="V1049" s="48">
        <f>ROUND((M1049*I1045+1.3*M1049*K1045+S1049*H1045),4)</f>
        <v>3940.05</v>
      </c>
      <c r="W1049" s="48">
        <f>ROUND((L1049*J1045+1.3*L1049*N1045+S1049*G1045),4)</f>
        <v>32.07</v>
      </c>
      <c r="X1049" s="48">
        <f>ROUND((M1049*0.9*J1045+1.3*M1049*0.9*N1045+S1049*G1045),4)</f>
        <v>42.87</v>
      </c>
      <c r="Y1049" s="48">
        <f>ROUND((M1049*J1045+1.3*M1049*N1045+S1049*G1045),4)</f>
        <v>47.46</v>
      </c>
      <c r="Z1049" s="49">
        <f>ROUND((P1045*T1049*F1045*O1045/1000000),4)</f>
        <v>0.39360000000000001</v>
      </c>
      <c r="AA1049" s="49">
        <f>ROUND((Q1045*U1049*F1045*O1045/1000000),4)</f>
        <v>5.3199999999999997E-2</v>
      </c>
      <c r="AB1049" s="49">
        <f>ROUND((R1045*V1049*F1045*O1045/1000000),4)</f>
        <v>5.91E-2</v>
      </c>
      <c r="AC1049" s="50" t="s">
        <v>250</v>
      </c>
      <c r="AD1049" s="51" t="s">
        <v>208</v>
      </c>
      <c r="AE1049" s="44">
        <f>ROUND((((X1049*E1045)/1800)),4)</f>
        <v>2.3800000000000002E-2</v>
      </c>
      <c r="AF1049" s="44">
        <f>ROUND(((Z1049+AA1049+AB1049)),4)</f>
        <v>0.50590000000000002</v>
      </c>
    </row>
    <row r="1050" spans="1:32" ht="12.95" customHeight="1" x14ac:dyDescent="0.25">
      <c r="A1050" s="52"/>
      <c r="B1050" s="62"/>
      <c r="C1050" s="56"/>
      <c r="D1050" s="56"/>
      <c r="E1050" s="56"/>
      <c r="F1050" s="56"/>
      <c r="G1050" s="56"/>
      <c r="H1050" s="56"/>
      <c r="I1050" s="56"/>
      <c r="J1050" s="56"/>
      <c r="K1050" s="56"/>
      <c r="L1050" s="59">
        <v>5.3</v>
      </c>
      <c r="M1050" s="59">
        <v>6.47</v>
      </c>
      <c r="N1050" s="56"/>
      <c r="O1050" s="56"/>
      <c r="P1050" s="56"/>
      <c r="Q1050" s="56"/>
      <c r="R1050" s="56"/>
      <c r="S1050" s="61">
        <v>9.92</v>
      </c>
      <c r="T1050" s="48">
        <f>ROUND((L1050*I1045+1.3*L1050*K1045+S1050*H1045),4)</f>
        <v>12830.25</v>
      </c>
      <c r="U1050" s="48">
        <f>ROUND((M1050*0.9*I1045+1.3*M1050*0.9*K1045+S1050*H1045),4)</f>
        <v>14037.595499999999</v>
      </c>
      <c r="V1050" s="48">
        <f>ROUND((M1050*I1045+1.3*M1050*K1045+S1050*H1045),4)</f>
        <v>15531.195</v>
      </c>
      <c r="W1050" s="48">
        <f>ROUND((L1050*J1045+1.3*L1050*N1045+S1050*G1045),4)</f>
        <v>202.62</v>
      </c>
      <c r="X1050" s="48">
        <f>ROUND((M1050*0.9*J1045+1.3*M1050*0.9*N1045+S1050*G1045),4)</f>
        <v>216.74100000000001</v>
      </c>
      <c r="Y1050" s="48">
        <f>ROUND((M1050*J1045+1.3*M1050*N1045+S1050*G1045),4)</f>
        <v>234.21</v>
      </c>
      <c r="Z1050" s="49">
        <f>ROUND((P1045*T1050*F1045*O1045/1000000),4)</f>
        <v>1.9245000000000001</v>
      </c>
      <c r="AA1050" s="49">
        <f>ROUND((Q1045*U1050*F1045*O1045/1000000),4)</f>
        <v>0.21060000000000001</v>
      </c>
      <c r="AB1050" s="49">
        <f>ROUND((R1045*V1050*F1045*O1045/1000000),4)</f>
        <v>0.23300000000000001</v>
      </c>
      <c r="AC1050" s="50" t="s">
        <v>170</v>
      </c>
      <c r="AD1050" s="51" t="s">
        <v>162</v>
      </c>
      <c r="AE1050" s="44">
        <f>ROUND((((X1050*E1045)/1800)),4)</f>
        <v>0.12039999999999999</v>
      </c>
      <c r="AF1050" s="44">
        <f>ROUND(((Z1050+AA1050+AB1050)),4)</f>
        <v>2.3681000000000001</v>
      </c>
    </row>
    <row r="1051" spans="1:32" ht="12.95" customHeight="1" x14ac:dyDescent="0.25">
      <c r="A1051" s="52"/>
      <c r="B1051" s="67" t="s">
        <v>220</v>
      </c>
      <c r="C1051" s="46">
        <v>7</v>
      </c>
      <c r="D1051" s="45" t="s">
        <v>217</v>
      </c>
      <c r="E1051" s="45">
        <v>1</v>
      </c>
      <c r="F1051" s="45">
        <v>4</v>
      </c>
      <c r="G1051" s="45">
        <v>6</v>
      </c>
      <c r="H1051" s="45">
        <v>60</v>
      </c>
      <c r="I1051" s="45">
        <f>(8-1-0.75*2)*60*F1051-K1051-8*0.12*60</f>
        <v>404.4</v>
      </c>
      <c r="J1051" s="45">
        <v>14</v>
      </c>
      <c r="K1051" s="45">
        <f>(8-1-0.75*2)*0.65*60*F1051</f>
        <v>858</v>
      </c>
      <c r="L1051" s="48">
        <v>10.16</v>
      </c>
      <c r="M1051" s="48">
        <v>10.16</v>
      </c>
      <c r="N1051" s="45">
        <v>10</v>
      </c>
      <c r="O1051" s="45">
        <f>E1051/F1051</f>
        <v>0.25</v>
      </c>
      <c r="P1051" s="45">
        <v>150</v>
      </c>
      <c r="Q1051" s="45">
        <v>15</v>
      </c>
      <c r="R1051" s="47">
        <v>15</v>
      </c>
      <c r="S1051" s="47">
        <v>1.99</v>
      </c>
      <c r="T1051" s="48">
        <f>ROUND((L1051*I1051+1.3*L1051*K1051+S1051*H1051),4)</f>
        <v>15560.567999999999</v>
      </c>
      <c r="U1051" s="48">
        <f>ROUND((M1051*I1051+1.3*M1051*K1051+S1051*H1051),4)</f>
        <v>15560.567999999999</v>
      </c>
      <c r="V1051" s="48">
        <f>ROUND((M1051*I1051+1.3*M1051*K1051+S1051*H1051),4)</f>
        <v>15560.567999999999</v>
      </c>
      <c r="W1051" s="48">
        <f>ROUND((L1051*J1051+1.3*L1051*N1051+S1051*G1051),4)</f>
        <v>286.26</v>
      </c>
      <c r="X1051" s="48">
        <f>ROUND((M1051*J1051+1.3*M1051*N1051+S1051*G1051),4)</f>
        <v>286.26</v>
      </c>
      <c r="Y1051" s="48">
        <f>ROUND((M1051*J1051+1.3*M1051*N1051+S1051*G1051),4)</f>
        <v>286.26</v>
      </c>
      <c r="Z1051" s="49">
        <f>ROUND((P1051*T1051*F1051*O1051/1000000),4)</f>
        <v>2.3340999999999998</v>
      </c>
      <c r="AA1051" s="49">
        <f>ROUND((Q1051*U1051*F1051*O1051/1000000),4)</f>
        <v>0.2334</v>
      </c>
      <c r="AB1051" s="49">
        <f>ROUND((R1051*V1051*F1051*O1051/1000000),4)</f>
        <v>0.2334</v>
      </c>
      <c r="AC1051" s="50" t="s">
        <v>200</v>
      </c>
      <c r="AD1051" s="51" t="s">
        <v>153</v>
      </c>
      <c r="AE1051" s="44">
        <f>ROUND((((X1051*E1051)/1800)*0.8),4)</f>
        <v>0.12720000000000001</v>
      </c>
      <c r="AF1051" s="44">
        <f>ROUND(((Z1051+AA1051+AB1051)*0.8),4)</f>
        <v>2.2406999999999999</v>
      </c>
    </row>
    <row r="1052" spans="1:32" ht="12.95" customHeight="1" x14ac:dyDescent="0.25">
      <c r="A1052" s="52"/>
      <c r="B1052" s="53" t="s">
        <v>222</v>
      </c>
      <c r="C1052" s="52"/>
      <c r="D1052" s="52"/>
      <c r="E1052" s="52"/>
      <c r="F1052" s="52"/>
      <c r="G1052" s="52"/>
      <c r="H1052" s="52"/>
      <c r="I1052" s="52"/>
      <c r="J1052" s="52"/>
      <c r="K1052" s="52"/>
      <c r="L1052" s="56"/>
      <c r="M1052" s="56"/>
      <c r="N1052" s="52"/>
      <c r="O1052" s="52"/>
      <c r="P1052" s="52"/>
      <c r="Q1052" s="52"/>
      <c r="R1052" s="52"/>
      <c r="S1052" s="57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0" t="s">
        <v>201</v>
      </c>
      <c r="AD1052" s="51" t="s">
        <v>202</v>
      </c>
      <c r="AE1052" s="44">
        <f>ROUND((((X1051*E1051)/1800)*0.13),4)</f>
        <v>2.07E-2</v>
      </c>
      <c r="AF1052" s="44">
        <f>ROUND(((Z1051+AA1051+AB1051)*0.13),4)</f>
        <v>0.36409999999999998</v>
      </c>
    </row>
    <row r="1053" spans="1:32" ht="12.95" customHeight="1" x14ac:dyDescent="0.25">
      <c r="A1053" s="52"/>
      <c r="B1053" s="88"/>
      <c r="C1053" s="55"/>
      <c r="D1053" s="55"/>
      <c r="E1053" s="52"/>
      <c r="F1053" s="52"/>
      <c r="G1053" s="52"/>
      <c r="H1053" s="52"/>
      <c r="I1053" s="52"/>
      <c r="J1053" s="52"/>
      <c r="K1053" s="52"/>
      <c r="L1053" s="59">
        <v>0.8</v>
      </c>
      <c r="M1053" s="59">
        <v>0.98</v>
      </c>
      <c r="N1053" s="52"/>
      <c r="O1053" s="52"/>
      <c r="P1053" s="52"/>
      <c r="Q1053" s="52"/>
      <c r="R1053" s="52"/>
      <c r="S1053" s="60">
        <v>0.39</v>
      </c>
      <c r="T1053" s="48">
        <f>ROUND((L1053*I1051+1.3*L1053*K1051+S1053*H1051),4)</f>
        <v>1239.24</v>
      </c>
      <c r="U1053" s="48">
        <f>ROUND((M1053*0.9*I1051+1.3*M1053*0.9*K1051+S1053*H1051),4)</f>
        <v>1363.8635999999999</v>
      </c>
      <c r="V1053" s="48">
        <f>ROUND((M1053*I1051+1.3*M1053*K1051+S1053*H1051),4)</f>
        <v>1512.8040000000001</v>
      </c>
      <c r="W1053" s="48">
        <f>ROUND((L1053*J1051+1.3*L1053*N1051+S1053*G1051),4)</f>
        <v>23.94</v>
      </c>
      <c r="X1053" s="48">
        <f>ROUND((M1053*0.9*J1051+1.3*M1053*0.9*N1051+S1053*G1051),4)</f>
        <v>26.154</v>
      </c>
      <c r="Y1053" s="48">
        <f>ROUND((M1053*J1051+1.3*M1053*N1051+S1053*G1051),4)</f>
        <v>28.8</v>
      </c>
      <c r="Z1053" s="49">
        <f>ROUND((P1051*T1053*F1051*O1051/1000000),4)</f>
        <v>0.18590000000000001</v>
      </c>
      <c r="AA1053" s="49">
        <f>ROUND((Q1051*U1053*F1051*O1051/1000000),4)</f>
        <v>2.0500000000000001E-2</v>
      </c>
      <c r="AB1053" s="49">
        <f>ROUND((R1051*V1053*F1051*O1051/1000000),4)</f>
        <v>2.2700000000000001E-2</v>
      </c>
      <c r="AC1053" s="50" t="s">
        <v>203</v>
      </c>
      <c r="AD1053" s="51" t="s">
        <v>204</v>
      </c>
      <c r="AE1053" s="44">
        <f>ROUND((((X1053*E1051)/1800)),4)</f>
        <v>1.4500000000000001E-2</v>
      </c>
      <c r="AF1053" s="44">
        <f>ROUND(((Z1053+AA1053+AB1053)),5)</f>
        <v>0.2291</v>
      </c>
    </row>
    <row r="1054" spans="1:32" ht="12.95" customHeight="1" x14ac:dyDescent="0.25">
      <c r="A1054" s="52"/>
      <c r="B1054" s="88"/>
      <c r="C1054" s="52"/>
      <c r="D1054" s="52"/>
      <c r="E1054" s="52"/>
      <c r="F1054" s="63"/>
      <c r="G1054" s="52"/>
      <c r="H1054" s="52"/>
      <c r="I1054" s="52"/>
      <c r="J1054" s="52"/>
      <c r="K1054" s="52"/>
      <c r="L1054" s="59">
        <v>1.79</v>
      </c>
      <c r="M1054" s="59">
        <v>2.15</v>
      </c>
      <c r="N1054" s="52"/>
      <c r="O1054" s="52"/>
      <c r="P1054" s="52"/>
      <c r="Q1054" s="52"/>
      <c r="R1054" s="52"/>
      <c r="S1054" s="61">
        <v>1.24</v>
      </c>
      <c r="T1054" s="48">
        <f>ROUND((L1054*I1051+1.3*L1054*K1051+S1054*H1051),4)</f>
        <v>2794.8420000000001</v>
      </c>
      <c r="U1054" s="48">
        <f>ROUND((M1054*0.9*I1051+1.3*M1054*0.9*K1051+S1054*H1051),4)</f>
        <v>3015.2130000000002</v>
      </c>
      <c r="V1054" s="48">
        <f>ROUND((M1054*I1051+1.3*M1054*K1051+S1054*H1051),4)</f>
        <v>3341.97</v>
      </c>
      <c r="W1054" s="48">
        <f>ROUND((L1054*J1051+1.3*L1054*N1051+S1054*G1051),4)</f>
        <v>55.77</v>
      </c>
      <c r="X1054" s="48">
        <f>ROUND((M1054*0.9*J1051+1.3*M1054*0.9*N1051+S1054*G1051),4)</f>
        <v>59.685000000000002</v>
      </c>
      <c r="Y1054" s="48">
        <f>ROUND((M1054*J1051+1.3*N1051+S1054*G1051),4)</f>
        <v>50.54</v>
      </c>
      <c r="Z1054" s="49">
        <f>ROUND((P1051*T1054*F1051*O1051/1000000),4)</f>
        <v>0.41920000000000002</v>
      </c>
      <c r="AA1054" s="49">
        <f>ROUND((Q1051*U1054*F1051*O1051/1000000),4)</f>
        <v>4.5199999999999997E-2</v>
      </c>
      <c r="AB1054" s="49">
        <f>ROUND((R1051*V1054*F1051*O1051/1000000),4)</f>
        <v>5.0099999999999999E-2</v>
      </c>
      <c r="AC1054" s="50" t="s">
        <v>205</v>
      </c>
      <c r="AD1054" s="51" t="s">
        <v>206</v>
      </c>
      <c r="AE1054" s="44">
        <f>ROUND((((X1054*E1051)/1800)),4)</f>
        <v>3.32E-2</v>
      </c>
      <c r="AF1054" s="44">
        <f>ROUND(((Z1054+AA1054+AB1054)),4)</f>
        <v>0.51449999999999996</v>
      </c>
    </row>
    <row r="1055" spans="1:32" ht="12.95" customHeight="1" x14ac:dyDescent="0.25">
      <c r="A1055" s="52"/>
      <c r="B1055" s="53"/>
      <c r="C1055" s="52"/>
      <c r="D1055" s="52"/>
      <c r="E1055" s="52"/>
      <c r="F1055" s="63"/>
      <c r="G1055" s="52"/>
      <c r="H1055" s="52"/>
      <c r="I1055" s="52"/>
      <c r="J1055" s="52"/>
      <c r="K1055" s="52"/>
      <c r="L1055" s="59">
        <v>1.1299999999999999</v>
      </c>
      <c r="M1055" s="59">
        <v>1.7</v>
      </c>
      <c r="N1055" s="52"/>
      <c r="O1055" s="52"/>
      <c r="P1055" s="52"/>
      <c r="Q1055" s="52"/>
      <c r="R1055" s="52"/>
      <c r="S1055" s="61">
        <v>0.26</v>
      </c>
      <c r="T1055" s="48">
        <f>ROUND((L1055*I1051+1.3*L1055*K1051+S1055*H1051),4)</f>
        <v>1732.9739999999999</v>
      </c>
      <c r="U1055" s="48">
        <f>ROUND((M1055*0.9*I1051+1.3*M1055*0.9*K1051+S1055*H1051),4)</f>
        <v>2340.8939999999998</v>
      </c>
      <c r="V1055" s="48">
        <f>ROUND((M1055*I1051+1.3*M1055*K1051+S1055*H1051),4)</f>
        <v>2599.2600000000002</v>
      </c>
      <c r="W1055" s="48">
        <f>ROUND((L1055*J1051+1.3*L1055*N1051+S1055*G1051),4)</f>
        <v>32.07</v>
      </c>
      <c r="X1055" s="48">
        <f>ROUND((M1055*0.9*J1051+1.3*M1055*0.9*N1051+S1055*G1051),4)</f>
        <v>42.87</v>
      </c>
      <c r="Y1055" s="48">
        <f>ROUND((M1055*J1051+1.3*M1055*N1051+S1055*G1051),4)</f>
        <v>47.46</v>
      </c>
      <c r="Z1055" s="49">
        <f>ROUND((P1051*T1055*F1051*O1051/1000000),4)</f>
        <v>0.25990000000000002</v>
      </c>
      <c r="AA1055" s="49">
        <f>ROUND((Q1051*U1055*F1051*O1051/1000000),4)</f>
        <v>3.5099999999999999E-2</v>
      </c>
      <c r="AB1055" s="49">
        <f>ROUND((R1051*V1055*F1051*O1051/1000000),4)</f>
        <v>3.9E-2</v>
      </c>
      <c r="AC1055" s="50" t="s">
        <v>250</v>
      </c>
      <c r="AD1055" s="51" t="s">
        <v>208</v>
      </c>
      <c r="AE1055" s="44">
        <f>ROUND((((X1055*E1051)/1800)),4)</f>
        <v>2.3800000000000002E-2</v>
      </c>
      <c r="AF1055" s="44">
        <f>ROUND(((Z1055+AA1055+AB1055)),4)</f>
        <v>0.33400000000000002</v>
      </c>
    </row>
    <row r="1056" spans="1:32" ht="12.95" customHeight="1" x14ac:dyDescent="0.25">
      <c r="A1056" s="52"/>
      <c r="B1056" s="62"/>
      <c r="C1056" s="56"/>
      <c r="D1056" s="56"/>
      <c r="E1056" s="56"/>
      <c r="F1056" s="66"/>
      <c r="G1056" s="56"/>
      <c r="H1056" s="56"/>
      <c r="I1056" s="56"/>
      <c r="J1056" s="56"/>
      <c r="K1056" s="56"/>
      <c r="L1056" s="59">
        <v>5.3</v>
      </c>
      <c r="M1056" s="59">
        <v>6.47</v>
      </c>
      <c r="N1056" s="56"/>
      <c r="O1056" s="56"/>
      <c r="P1056" s="56"/>
      <c r="Q1056" s="56"/>
      <c r="R1056" s="56"/>
      <c r="S1056" s="61">
        <v>9.92</v>
      </c>
      <c r="T1056" s="48">
        <f>ROUND((L1056*I1051+1.3*L1056*K1051+S1056*H1051),4)</f>
        <v>8650.14</v>
      </c>
      <c r="U1056" s="48">
        <f>ROUND((M1056*0.9*I1051+1.3*M1056*0.9*K1051+S1056*H1051),4)</f>
        <v>9444.9953999999998</v>
      </c>
      <c r="V1056" s="48">
        <f>ROUND((M1056*I1051+1.3*M1056*K1051+S1056*H1051),4)</f>
        <v>10428.306</v>
      </c>
      <c r="W1056" s="48">
        <f>ROUND((L1056*J1051+1.3*L1056*N1051+S1056*G1051),4)</f>
        <v>202.62</v>
      </c>
      <c r="X1056" s="48">
        <f>ROUND((M1056*0.9*J1051+1.3*M1056*0.9*N1051+S1056*G1051),4)</f>
        <v>216.74100000000001</v>
      </c>
      <c r="Y1056" s="48">
        <f>ROUND((M1056*J1051+1.3*M1056*N1051+S1056*G1051),4)</f>
        <v>234.21</v>
      </c>
      <c r="Z1056" s="49">
        <f>ROUND((P1051*T1056*F1051*O1051/1000000),4)</f>
        <v>1.2975000000000001</v>
      </c>
      <c r="AA1056" s="49">
        <f>ROUND((Q1051*U1056*F1051*O1051/1000000),4)</f>
        <v>0.14169999999999999</v>
      </c>
      <c r="AB1056" s="49">
        <f>ROUND((R1051*V1056*F1051*O1051/1000000),4)</f>
        <v>0.15640000000000001</v>
      </c>
      <c r="AC1056" s="50" t="s">
        <v>170</v>
      </c>
      <c r="AD1056" s="51" t="s">
        <v>162</v>
      </c>
      <c r="AE1056" s="44">
        <f>ROUND((((X1056*E1051)/1800)),4)</f>
        <v>0.12039999999999999</v>
      </c>
      <c r="AF1056" s="44">
        <f>ROUND(((Z1056+AA1056+AB1056)),4)</f>
        <v>1.5955999999999999</v>
      </c>
    </row>
    <row r="1057" spans="1:34" ht="12.95" customHeight="1" x14ac:dyDescent="0.25">
      <c r="A1057" s="52"/>
      <c r="B1057" s="67" t="s">
        <v>223</v>
      </c>
      <c r="C1057" s="46">
        <v>1</v>
      </c>
      <c r="D1057" s="45" t="s">
        <v>225</v>
      </c>
      <c r="E1057" s="45">
        <v>1</v>
      </c>
      <c r="F1057" s="45">
        <v>4</v>
      </c>
      <c r="G1057" s="45">
        <v>6</v>
      </c>
      <c r="H1057" s="45">
        <v>60</v>
      </c>
      <c r="I1057" s="45">
        <f>(8-1-0.75*2)*60*F1057-K1057-8*0.12*60</f>
        <v>404.4</v>
      </c>
      <c r="J1057" s="45">
        <v>14</v>
      </c>
      <c r="K1057" s="45">
        <f>(8-1-0.75*2)*0.65*60*F1057</f>
        <v>858</v>
      </c>
      <c r="L1057" s="48">
        <v>0.47</v>
      </c>
      <c r="M1057" s="48">
        <v>0.47</v>
      </c>
      <c r="N1057" s="45">
        <v>10</v>
      </c>
      <c r="O1057" s="45">
        <f>E1057/F1057</f>
        <v>0.25</v>
      </c>
      <c r="P1057" s="45">
        <v>180</v>
      </c>
      <c r="Q1057" s="45">
        <v>30</v>
      </c>
      <c r="R1057" s="47">
        <v>0</v>
      </c>
      <c r="S1057" s="47">
        <v>0.09</v>
      </c>
      <c r="T1057" s="48">
        <f>ROUND((L1057*I1057+1.3*L1057*K1057+S1057*H1057),4)</f>
        <v>719.70600000000002</v>
      </c>
      <c r="U1057" s="48">
        <f>ROUND((M1057*I1057+1.3*M1057*K1057+S1057*H1057),4)</f>
        <v>719.70600000000002</v>
      </c>
      <c r="V1057" s="48">
        <f>ROUND((M1057*I1057+1.3*M1057*K1057+S1057*H1057),4)</f>
        <v>719.70600000000002</v>
      </c>
      <c r="W1057" s="48">
        <f>ROUND((L1057*J1057+1.3*L1057*N1057+S1057*G1057),4)</f>
        <v>13.23</v>
      </c>
      <c r="X1057" s="48">
        <f>ROUND((M1057*J1057+1.3*M1057*N1057+S1057*G1057),4)</f>
        <v>13.23</v>
      </c>
      <c r="Y1057" s="48">
        <f>ROUND((M1057*J1057+1.3*M1057*N1057+S1057*G1057),4)</f>
        <v>13.23</v>
      </c>
      <c r="Z1057" s="49">
        <f>ROUND((P1057*T1057*F1057*O1057/1000000),4)</f>
        <v>0.1295</v>
      </c>
      <c r="AA1057" s="49">
        <f>ROUND((Q1057*U1057*F1057*O1057/1000000),4)</f>
        <v>2.1600000000000001E-2</v>
      </c>
      <c r="AB1057" s="49">
        <f>ROUND((R1057*V1057*F1057*O1057/1000000),4)</f>
        <v>0</v>
      </c>
      <c r="AC1057" s="50" t="s">
        <v>200</v>
      </c>
      <c r="AD1057" s="51" t="s">
        <v>153</v>
      </c>
      <c r="AE1057" s="44">
        <f>ROUND((((X1057*E1057)/1800)*0.8),4)</f>
        <v>5.8999999999999999E-3</v>
      </c>
      <c r="AF1057" s="44">
        <f>ROUND(((Z1057+AA1057+AB1057)*0.8),4)</f>
        <v>0.12089999999999999</v>
      </c>
      <c r="AG1057" s="88"/>
      <c r="AH1057" s="88"/>
    </row>
    <row r="1058" spans="1:34" ht="12.95" customHeight="1" x14ac:dyDescent="0.25">
      <c r="A1058" s="52"/>
      <c r="B1058" s="53" t="s">
        <v>224</v>
      </c>
      <c r="C1058" s="52"/>
      <c r="D1058" s="52"/>
      <c r="E1058" s="52"/>
      <c r="F1058" s="63"/>
      <c r="G1058" s="52"/>
      <c r="H1058" s="52"/>
      <c r="I1058" s="52"/>
      <c r="J1058" s="52"/>
      <c r="K1058" s="52"/>
      <c r="L1058" s="56"/>
      <c r="M1058" s="56"/>
      <c r="N1058" s="52"/>
      <c r="O1058" s="52"/>
      <c r="P1058" s="52"/>
      <c r="Q1058" s="52"/>
      <c r="R1058" s="52"/>
      <c r="S1058" s="57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0" t="s">
        <v>201</v>
      </c>
      <c r="AD1058" s="51" t="s">
        <v>202</v>
      </c>
      <c r="AE1058" s="44">
        <f>ROUND((((X1057*E1057)/1800)*0.13),4)</f>
        <v>1E-3</v>
      </c>
      <c r="AF1058" s="44">
        <f>ROUND(((Z1057+AA1057+AB1057)*0.13),4)</f>
        <v>1.9599999999999999E-2</v>
      </c>
      <c r="AG1058" s="88"/>
      <c r="AH1058" s="88"/>
    </row>
    <row r="1059" spans="1:34" ht="12.95" customHeight="1" x14ac:dyDescent="0.25">
      <c r="A1059" s="52"/>
      <c r="B1059" s="88"/>
      <c r="C1059" s="55"/>
      <c r="D1059" s="55"/>
      <c r="E1059" s="52"/>
      <c r="F1059" s="63"/>
      <c r="G1059" s="52"/>
      <c r="H1059" s="52"/>
      <c r="I1059" s="52"/>
      <c r="J1059" s="52"/>
      <c r="K1059" s="52"/>
      <c r="L1059" s="59">
        <v>0.8</v>
      </c>
      <c r="M1059" s="59">
        <v>0.98</v>
      </c>
      <c r="N1059" s="52"/>
      <c r="O1059" s="52"/>
      <c r="P1059" s="52"/>
      <c r="Q1059" s="52"/>
      <c r="R1059" s="52"/>
      <c r="S1059" s="60">
        <v>1.7999999999999999E-2</v>
      </c>
      <c r="T1059" s="48">
        <f>ROUND((L1059*I1057+1.3*L1059*K1057+S1059*H1057),4)</f>
        <v>1216.92</v>
      </c>
      <c r="U1059" s="48">
        <f>ROUND((M1059*0.9*I1057+1.3*M1059*0.9*K1057+S1059*H1057),4)</f>
        <v>1341.5436</v>
      </c>
      <c r="V1059" s="48">
        <f>ROUND((M1059*I1057+1.3*M1059*K1057+S1059*H1057),4)</f>
        <v>1490.4839999999999</v>
      </c>
      <c r="W1059" s="48">
        <f>ROUND((L1059*J1057+1.3*L1059*N1057+S1059*G1057),4)</f>
        <v>21.707999999999998</v>
      </c>
      <c r="X1059" s="48">
        <f>ROUND((M1059*0.9*J1057+1.3*M1059*0.9*N1057+S1059*G1057),4)</f>
        <v>23.922000000000001</v>
      </c>
      <c r="Y1059" s="48">
        <f>ROUND((M1059*J1057+1.3*M1059*N1057+S1059*G1057),4)</f>
        <v>26.568000000000001</v>
      </c>
      <c r="Z1059" s="49">
        <f>ROUND((P1057*T1059*F1057*O1057/1000000),4)</f>
        <v>0.219</v>
      </c>
      <c r="AA1059" s="49">
        <f>ROUND((Q1057*U1059*F1057*O1057/1000000),4)</f>
        <v>4.02E-2</v>
      </c>
      <c r="AB1059" s="49">
        <f>ROUND((R1057*V1059*F1057*O1057/1000000),4)</f>
        <v>0</v>
      </c>
      <c r="AC1059" s="50" t="s">
        <v>203</v>
      </c>
      <c r="AD1059" s="51" t="s">
        <v>204</v>
      </c>
      <c r="AE1059" s="44">
        <f>ROUND((((X1059*E1057)/1800)),4)</f>
        <v>1.3299999999999999E-2</v>
      </c>
      <c r="AF1059" s="44">
        <f>ROUND(((Z1059+AA1059+AB1059)),5)</f>
        <v>0.25919999999999999</v>
      </c>
      <c r="AG1059" s="88"/>
      <c r="AH1059" s="88"/>
    </row>
    <row r="1060" spans="1:34" ht="12.95" customHeight="1" x14ac:dyDescent="0.25">
      <c r="A1060" s="52"/>
      <c r="B1060" s="88"/>
      <c r="C1060" s="52"/>
      <c r="D1060" s="52"/>
      <c r="E1060" s="52"/>
      <c r="F1060" s="63"/>
      <c r="G1060" s="52"/>
      <c r="H1060" s="52"/>
      <c r="I1060" s="52"/>
      <c r="J1060" s="52"/>
      <c r="K1060" s="52"/>
      <c r="L1060" s="59">
        <v>0.08</v>
      </c>
      <c r="M1060" s="59">
        <v>0.1</v>
      </c>
      <c r="N1060" s="52"/>
      <c r="O1060" s="52"/>
      <c r="P1060" s="52"/>
      <c r="Q1060" s="52"/>
      <c r="R1060" s="52"/>
      <c r="S1060" s="61">
        <v>0.06</v>
      </c>
      <c r="T1060" s="48">
        <f>ROUND((L1060*I1057+1.3*L1060*K1057+S1060*H1057),4)</f>
        <v>125.184</v>
      </c>
      <c r="U1060" s="48">
        <f>ROUND((M1060*0.9*I1057+1.3*M1060*0.9*K1057+S1060*H1057),4)</f>
        <v>140.38200000000001</v>
      </c>
      <c r="V1060" s="48">
        <f>ROUND((M1060*I1057+1.3*M1060*K1057+S1060*H1057),4)</f>
        <v>155.58000000000001</v>
      </c>
      <c r="W1060" s="48">
        <f>ROUND((L1060*J1057+1.3*L1060*N1057+S1060*G1057),4)</f>
        <v>2.52</v>
      </c>
      <c r="X1060" s="48">
        <f>ROUND((M1060*0.9*J1057+1.3*M1060*0.9*N1057+S1060*G1057),4)</f>
        <v>2.79</v>
      </c>
      <c r="Y1060" s="48">
        <f>ROUND((M1060*J1057+1.3*N1057+S1060*G1057),4)</f>
        <v>14.76</v>
      </c>
      <c r="Z1060" s="49">
        <f>ROUND((P1057*T1060*F1057*O1057/1000000),4)</f>
        <v>2.2499999999999999E-2</v>
      </c>
      <c r="AA1060" s="49">
        <f>ROUND((Q1057*U1060*F1057*O1057/1000000),4)</f>
        <v>4.1999999999999997E-3</v>
      </c>
      <c r="AB1060" s="49">
        <f>ROUND((R1057*V1060*F1057*O1057/1000000),4)</f>
        <v>0</v>
      </c>
      <c r="AC1060" s="50" t="s">
        <v>205</v>
      </c>
      <c r="AD1060" s="51" t="s">
        <v>206</v>
      </c>
      <c r="AE1060" s="44">
        <f>ROUND((((X1060*E1057)/1800)),4)</f>
        <v>1.6000000000000001E-3</v>
      </c>
      <c r="AF1060" s="44">
        <f>ROUND(((Z1060+AA1060+AB1060)),4)</f>
        <v>2.6700000000000002E-2</v>
      </c>
      <c r="AG1060" s="88"/>
      <c r="AH1060" s="88"/>
    </row>
    <row r="1061" spans="1:34" ht="12.95" customHeight="1" x14ac:dyDescent="0.25">
      <c r="A1061" s="52"/>
      <c r="B1061" s="53"/>
      <c r="C1061" s="52"/>
      <c r="D1061" s="52"/>
      <c r="E1061" s="52"/>
      <c r="F1061" s="63"/>
      <c r="G1061" s="52"/>
      <c r="H1061" s="52"/>
      <c r="I1061" s="52"/>
      <c r="J1061" s="52"/>
      <c r="K1061" s="52"/>
      <c r="L1061" s="59">
        <v>0.05</v>
      </c>
      <c r="M1061" s="59">
        <v>7.0000000000000007E-2</v>
      </c>
      <c r="N1061" s="52"/>
      <c r="O1061" s="52"/>
      <c r="P1061" s="52"/>
      <c r="Q1061" s="52"/>
      <c r="R1061" s="52"/>
      <c r="S1061" s="61">
        <v>0.01</v>
      </c>
      <c r="T1061" s="48">
        <f>ROUND((L1061*I1057+1.3*L1061*K1057+S1061*H1057),4)</f>
        <v>76.59</v>
      </c>
      <c r="U1061" s="48">
        <f>ROUND((M1061*0.9*I1057+1.3*M1061*0.9*K1057+S1061*H1057),4)</f>
        <v>96.347399999999993</v>
      </c>
      <c r="V1061" s="48">
        <f>ROUND((M1061*I1057+1.3*M1061*K1057+S1061*H1057),4)</f>
        <v>106.986</v>
      </c>
      <c r="W1061" s="48">
        <f>ROUND((L1061*J1057+1.3*L1061*N1057+S1061*G1057),4)</f>
        <v>1.41</v>
      </c>
      <c r="X1061" s="48">
        <f>ROUND((M1061*0.9*J1057+1.3*M1061*0.9*N1057+S1061*G1057),4)</f>
        <v>1.7609999999999999</v>
      </c>
      <c r="Y1061" s="48">
        <f>ROUND((M1061*J1057+1.3*M1061*N1057+S1061*G1057),4)</f>
        <v>1.95</v>
      </c>
      <c r="Z1061" s="49">
        <f>ROUND((P1057*T1061*F1057*O1057/1000000),4)</f>
        <v>1.38E-2</v>
      </c>
      <c r="AA1061" s="49">
        <f>ROUND((Q1057*U1061*F1057*O1057/1000000),4)</f>
        <v>2.8999999999999998E-3</v>
      </c>
      <c r="AB1061" s="49">
        <f>ROUND((R1057*V1061*F1057*O1057/1000000),4)</f>
        <v>0</v>
      </c>
      <c r="AC1061" s="50" t="s">
        <v>250</v>
      </c>
      <c r="AD1061" s="51" t="s">
        <v>208</v>
      </c>
      <c r="AE1061" s="44">
        <f>ROUND((((X1061*E1057)/1800)),4)</f>
        <v>1E-3</v>
      </c>
      <c r="AF1061" s="44">
        <f>ROUND(((Z1061+AA1061+AB1061)),4)</f>
        <v>1.67E-2</v>
      </c>
      <c r="AG1061" s="88"/>
      <c r="AH1061" s="88"/>
    </row>
    <row r="1062" spans="1:34" ht="12.95" customHeight="1" x14ac:dyDescent="0.25">
      <c r="A1062" s="52"/>
      <c r="B1062" s="62"/>
      <c r="C1062" s="56"/>
      <c r="D1062" s="56"/>
      <c r="E1062" s="56"/>
      <c r="F1062" s="56"/>
      <c r="G1062" s="56"/>
      <c r="H1062" s="56"/>
      <c r="I1062" s="56"/>
      <c r="J1062" s="56"/>
      <c r="K1062" s="56"/>
      <c r="L1062" s="59">
        <v>3.5999999999999997E-2</v>
      </c>
      <c r="M1062" s="59">
        <v>4.3999999999999997E-2</v>
      </c>
      <c r="N1062" s="56"/>
      <c r="O1062" s="56"/>
      <c r="P1062" s="56"/>
      <c r="Q1062" s="56"/>
      <c r="R1062" s="56"/>
      <c r="S1062" s="61">
        <v>0.45</v>
      </c>
      <c r="T1062" s="48">
        <f>ROUND((L1062*I1057+1.3*L1062*K1057+S1062*H1057),4)</f>
        <v>81.712800000000001</v>
      </c>
      <c r="U1062" s="48">
        <f>ROUND((M1062*0.9*I1057+1.3*M1062*0.9*K1057+S1062*H1057),4)</f>
        <v>87.184100000000001</v>
      </c>
      <c r="V1062" s="48">
        <f>ROUND((M1062*I1057+1.3*M1062*K1057+S1062*H1057),4)</f>
        <v>93.871200000000002</v>
      </c>
      <c r="W1062" s="48">
        <f>ROUND((L1062*J1057+1.3*L1062*N1057+S1062*G1057),4)</f>
        <v>3.6720000000000002</v>
      </c>
      <c r="X1062" s="48">
        <f>ROUND((M1062*0.9*J1057+1.3*M1062*0.9*N1057+S1062*G1057),4)</f>
        <v>3.7692000000000001</v>
      </c>
      <c r="Y1062" s="48">
        <f>ROUND((M1062*J1057+1.3*M1062*N1057+S1062*G1057),4)</f>
        <v>3.8879999999999999</v>
      </c>
      <c r="Z1062" s="49">
        <f>ROUND((P1057*T1062*F1057*O1057/1000000),4)</f>
        <v>1.47E-2</v>
      </c>
      <c r="AA1062" s="49">
        <f>ROUND((Q1057*U1062*F1057*O1057/1000000),4)</f>
        <v>2.5999999999999999E-3</v>
      </c>
      <c r="AB1062" s="49">
        <f>ROUND((R1057*V1062*F1057*O1057/1000000),4)</f>
        <v>0</v>
      </c>
      <c r="AC1062" s="50" t="s">
        <v>170</v>
      </c>
      <c r="AD1062" s="51" t="s">
        <v>162</v>
      </c>
      <c r="AE1062" s="44">
        <f>ROUND((((X1062*E1057)/1800)),4)</f>
        <v>2.0999999999999999E-3</v>
      </c>
      <c r="AF1062" s="44">
        <f>ROUND(((Z1062+AA1062+AB1062)),4)</f>
        <v>1.7299999999999999E-2</v>
      </c>
      <c r="AG1062" s="88"/>
      <c r="AH1062" s="88"/>
    </row>
    <row r="1063" spans="1:34" ht="12.95" customHeight="1" x14ac:dyDescent="0.25">
      <c r="A1063" s="89"/>
      <c r="B1063" s="46" t="s">
        <v>234</v>
      </c>
      <c r="C1063" s="46">
        <v>6</v>
      </c>
      <c r="D1063" s="45" t="s">
        <v>210</v>
      </c>
      <c r="E1063" s="45">
        <v>1</v>
      </c>
      <c r="F1063" s="45">
        <v>1</v>
      </c>
      <c r="G1063" s="45">
        <v>6</v>
      </c>
      <c r="H1063" s="45">
        <v>60</v>
      </c>
      <c r="I1063" s="45">
        <f>(8-1-0.75*2)*60*F1063-K1063-8*0.12*60</f>
        <v>57.900000000000006</v>
      </c>
      <c r="J1063" s="45">
        <v>14</v>
      </c>
      <c r="K1063" s="45">
        <f>(8-1-0.75*2)*0.65*60*F1063</f>
        <v>214.5</v>
      </c>
      <c r="L1063" s="48">
        <v>6.47</v>
      </c>
      <c r="M1063" s="48">
        <v>6.47</v>
      </c>
      <c r="N1063" s="45">
        <v>10</v>
      </c>
      <c r="O1063" s="45">
        <f>E1063/F1063</f>
        <v>1</v>
      </c>
      <c r="P1063" s="45">
        <v>30</v>
      </c>
      <c r="Q1063" s="45">
        <v>0</v>
      </c>
      <c r="R1063" s="47">
        <v>0</v>
      </c>
      <c r="S1063" s="47">
        <v>1.27</v>
      </c>
      <c r="T1063" s="48">
        <f>ROUND((L1063*I1063+1.3*L1063*K1063+S1063*H1063),4)</f>
        <v>2254.9724999999999</v>
      </c>
      <c r="U1063" s="48">
        <f>ROUND((M1063*I1063+1.3*M1063*K1063+S1063*H1063),4)</f>
        <v>2254.9724999999999</v>
      </c>
      <c r="V1063" s="48">
        <f>ROUND((M1063*I1063+1.3*M1063*K1063+S1063*H1063),4)</f>
        <v>2254.9724999999999</v>
      </c>
      <c r="W1063" s="48">
        <f>ROUND((L1063*J1063+1.3*L1063*N1063+S1063*G1063),4)</f>
        <v>182.31</v>
      </c>
      <c r="X1063" s="48">
        <f>ROUND((M1063*J1063+1.3*M1063*N1063+S1063*G1063),4)</f>
        <v>182.31</v>
      </c>
      <c r="Y1063" s="48">
        <f>ROUND((M1063*J1063+1.3*M1063*N1063+S1063*G1063),4)</f>
        <v>182.31</v>
      </c>
      <c r="Z1063" s="49">
        <f>ROUND((P1063*T1063*F1063*O1063/1000000),4)</f>
        <v>6.7599999999999993E-2</v>
      </c>
      <c r="AA1063" s="49">
        <f>ROUND((Q1063*U1063*F1063*O1063/1000000),4)</f>
        <v>0</v>
      </c>
      <c r="AB1063" s="49">
        <f>ROUND((R1063*V1063*F1063*O1063/1000000),4)</f>
        <v>0</v>
      </c>
      <c r="AC1063" s="50" t="s">
        <v>200</v>
      </c>
      <c r="AD1063" s="51" t="s">
        <v>153</v>
      </c>
      <c r="AE1063" s="44">
        <f>ROUND((((X1063*E1063)/1800)*0.8),4)</f>
        <v>8.1000000000000003E-2</v>
      </c>
      <c r="AF1063" s="44">
        <f>ROUND(((Z1063+AA1063+AB1063)*0.8),4)</f>
        <v>5.4100000000000002E-2</v>
      </c>
      <c r="AG1063" s="88"/>
      <c r="AH1063" s="88"/>
    </row>
    <row r="1064" spans="1:34" ht="12.95" customHeight="1" x14ac:dyDescent="0.25">
      <c r="A1064" s="89"/>
      <c r="B1064" s="53" t="s">
        <v>235</v>
      </c>
      <c r="C1064" s="52"/>
      <c r="D1064" s="52"/>
      <c r="E1064" s="52"/>
      <c r="F1064" s="52"/>
      <c r="G1064" s="52"/>
      <c r="H1064" s="52"/>
      <c r="I1064" s="52"/>
      <c r="J1064" s="52"/>
      <c r="K1064" s="52"/>
      <c r="L1064" s="56"/>
      <c r="M1064" s="56"/>
      <c r="N1064" s="52"/>
      <c r="O1064" s="52"/>
      <c r="P1064" s="52"/>
      <c r="Q1064" s="52"/>
      <c r="R1064" s="52"/>
      <c r="S1064" s="57"/>
      <c r="T1064" s="54"/>
      <c r="U1064" s="54"/>
      <c r="V1064" s="54"/>
      <c r="W1064" s="54"/>
      <c r="X1064" s="54"/>
      <c r="Y1064" s="54"/>
      <c r="Z1064" s="54"/>
      <c r="AA1064" s="54"/>
      <c r="AB1064" s="54"/>
      <c r="AC1064" s="50" t="s">
        <v>201</v>
      </c>
      <c r="AD1064" s="51" t="s">
        <v>202</v>
      </c>
      <c r="AE1064" s="44">
        <f>ROUND((((X1063*E1063)/1800)*0.13),4)</f>
        <v>1.32E-2</v>
      </c>
      <c r="AF1064" s="44">
        <f>ROUND(((Z1063+AA1063+AB1063)*0.13),4)</f>
        <v>8.8000000000000005E-3</v>
      </c>
      <c r="AG1064" s="88"/>
      <c r="AH1064" s="88"/>
    </row>
    <row r="1065" spans="1:34" ht="12.95" customHeight="1" x14ac:dyDescent="0.25">
      <c r="A1065" s="89"/>
      <c r="B1065" s="67"/>
      <c r="C1065" s="55"/>
      <c r="D1065" s="55"/>
      <c r="E1065" s="52"/>
      <c r="F1065" s="52"/>
      <c r="G1065" s="52"/>
      <c r="H1065" s="52"/>
      <c r="I1065" s="52"/>
      <c r="J1065" s="52"/>
      <c r="K1065" s="52"/>
      <c r="L1065" s="59">
        <v>0.51</v>
      </c>
      <c r="M1065" s="59">
        <v>0.63</v>
      </c>
      <c r="N1065" s="52"/>
      <c r="O1065" s="52"/>
      <c r="P1065" s="52"/>
      <c r="Q1065" s="52"/>
      <c r="R1065" s="52"/>
      <c r="S1065" s="60">
        <v>0.25</v>
      </c>
      <c r="T1065" s="48">
        <f>ROUND((L1065*I1063+1.3*L1065*K1063+S1065*H1063),4)</f>
        <v>186.74250000000001</v>
      </c>
      <c r="U1065" s="48">
        <f>ROUND((M1065*0.9*I1063+1.3*M1065*0.9*K1063+S1065*H1063),4)</f>
        <v>205.93729999999999</v>
      </c>
      <c r="V1065" s="48">
        <f>ROUND((M1065*I1063+1.3*M1065*K1063+S1065*H1063),4)</f>
        <v>227.1525</v>
      </c>
      <c r="W1065" s="48">
        <f>ROUND((L1065*J1063+1.3*L1065*N1063+S1065*G1063),4)</f>
        <v>15.27</v>
      </c>
      <c r="X1065" s="48">
        <f>ROUND((M1065*0.9*J1063+1.3*M1065*0.9*N1063+S1065*G1063),4)</f>
        <v>16.809000000000001</v>
      </c>
      <c r="Y1065" s="48">
        <f>ROUND((M1065*J1063+1.3*M1065*N1063+S1065*G1063),4)</f>
        <v>18.510000000000002</v>
      </c>
      <c r="Z1065" s="49">
        <f>ROUND((P1063*T1065*F1063*O1063/1000000),4)</f>
        <v>5.5999999999999999E-3</v>
      </c>
      <c r="AA1065" s="49">
        <f>ROUND((Q1063*U1065*F1063*O1063/1000000),4)</f>
        <v>0</v>
      </c>
      <c r="AB1065" s="49">
        <f>ROUND((R1063*V1065*F1063*O1063/1000000),4)</f>
        <v>0</v>
      </c>
      <c r="AC1065" s="50" t="s">
        <v>203</v>
      </c>
      <c r="AD1065" s="51" t="s">
        <v>204</v>
      </c>
      <c r="AE1065" s="44">
        <f>ROUND((((X1065*E1063)/1800)),4)</f>
        <v>9.2999999999999992E-3</v>
      </c>
      <c r="AF1065" s="44">
        <f>ROUND(((Z1065+AA1065+AB1065)),5)</f>
        <v>5.5999999999999999E-3</v>
      </c>
      <c r="AG1065" s="88"/>
      <c r="AH1065" s="88"/>
    </row>
    <row r="1066" spans="1:34" ht="12.95" customHeight="1" x14ac:dyDescent="0.25">
      <c r="A1066" s="89"/>
      <c r="B1066" s="53"/>
      <c r="C1066" s="52"/>
      <c r="D1066" s="52"/>
      <c r="E1066" s="52"/>
      <c r="F1066" s="52"/>
      <c r="G1066" s="52"/>
      <c r="H1066" s="52"/>
      <c r="I1066" s="52"/>
      <c r="J1066" s="52"/>
      <c r="K1066" s="52"/>
      <c r="L1066" s="59">
        <v>1.1399999999999999</v>
      </c>
      <c r="M1066" s="59">
        <v>1.37</v>
      </c>
      <c r="N1066" s="52"/>
      <c r="O1066" s="52"/>
      <c r="P1066" s="52"/>
      <c r="Q1066" s="52"/>
      <c r="R1066" s="52"/>
      <c r="S1066" s="61">
        <v>0.79</v>
      </c>
      <c r="T1066" s="48">
        <f>ROUND((L1066*I1063+1.3*L1066*K1063+S1066*H1063),4)</f>
        <v>431.29500000000002</v>
      </c>
      <c r="U1066" s="48">
        <f>ROUND((M1066*0.9*I1063+1.3*M1066*0.9*K1063+S1066*H1063),4)</f>
        <v>462.61279999999999</v>
      </c>
      <c r="V1066" s="48">
        <f>ROUND((M1066*I1063+1.3*M1066*K1063+S1066*H1063),4)</f>
        <v>508.7475</v>
      </c>
      <c r="W1066" s="48">
        <f>ROUND((L1066*J1063+1.3*L1066*N1063+S1066*G1063),4)</f>
        <v>35.520000000000003</v>
      </c>
      <c r="X1066" s="48">
        <f>ROUND((M1066*0.9*J1063+1.3*M1066*0.9*N1063+S1066*G1063),4)</f>
        <v>38.030999999999999</v>
      </c>
      <c r="Y1066" s="48">
        <f>ROUND((M1066*J1063+1.3*N1063+S1066*G1063),4)</f>
        <v>36.92</v>
      </c>
      <c r="Z1066" s="49">
        <f>ROUND((P1063*T1066*F1063*O1063/1000000),4)</f>
        <v>1.29E-2</v>
      </c>
      <c r="AA1066" s="49">
        <f>ROUND((Q1063*U1066*F1063*O1063/1000000),4)</f>
        <v>0</v>
      </c>
      <c r="AB1066" s="49">
        <f>ROUND((R1063*V1066*F1063*O1063/1000000),4)</f>
        <v>0</v>
      </c>
      <c r="AC1066" s="50" t="s">
        <v>205</v>
      </c>
      <c r="AD1066" s="51" t="s">
        <v>206</v>
      </c>
      <c r="AE1066" s="44">
        <f>ROUND((((X1066*E1063)/1800)),4)</f>
        <v>2.1100000000000001E-2</v>
      </c>
      <c r="AF1066" s="44">
        <f>ROUND(((Z1066+AA1066+AB1066)),4)</f>
        <v>1.29E-2</v>
      </c>
      <c r="AG1066" s="88"/>
      <c r="AH1066" s="88"/>
    </row>
    <row r="1067" spans="1:34" ht="12.95" customHeight="1" x14ac:dyDescent="0.25">
      <c r="A1067" s="89"/>
      <c r="B1067" s="53"/>
      <c r="C1067" s="52"/>
      <c r="D1067" s="52"/>
      <c r="E1067" s="52"/>
      <c r="F1067" s="52"/>
      <c r="G1067" s="52"/>
      <c r="H1067" s="52"/>
      <c r="I1067" s="52"/>
      <c r="J1067" s="52"/>
      <c r="K1067" s="52"/>
      <c r="L1067" s="59">
        <v>0.72</v>
      </c>
      <c r="M1067" s="59">
        <v>1.08</v>
      </c>
      <c r="N1067" s="52"/>
      <c r="O1067" s="52"/>
      <c r="P1067" s="52"/>
      <c r="Q1067" s="52"/>
      <c r="R1067" s="52"/>
      <c r="S1067" s="61">
        <v>0.17</v>
      </c>
      <c r="T1067" s="48">
        <f>ROUND((L1067*I1063+1.3*L1067*K1063+S1067*H1063),4)</f>
        <v>252.66</v>
      </c>
      <c r="U1067" s="48">
        <f>ROUND((M1067*0.9*I1063+1.3*M1067*0.9*K1063+S1067*H1063),4)</f>
        <v>337.52100000000002</v>
      </c>
      <c r="V1067" s="48">
        <f>ROUND((M1067*I1063+1.3*M1067*K1063+S1067*H1063),4)</f>
        <v>373.89</v>
      </c>
      <c r="W1067" s="48">
        <f>ROUND((L1067*J1063+1.3*L1067*N1063+S1067*G1063),4)</f>
        <v>20.46</v>
      </c>
      <c r="X1067" s="48">
        <f>ROUND((M1067*0.9*J1063+1.3*M1067*0.9*N1063+S1067*G1063),4)</f>
        <v>27.263999999999999</v>
      </c>
      <c r="Y1067" s="48">
        <f>ROUND((M1067*J1063+1.3*M1067*N1063+S1067*G1063),4)</f>
        <v>30.18</v>
      </c>
      <c r="Z1067" s="49">
        <f>ROUND((P1063*T1067*F1063*O1063/1000000),4)</f>
        <v>7.6E-3</v>
      </c>
      <c r="AA1067" s="49">
        <f>ROUND((Q1063*U1067*F1063*O1063/1000000),4)</f>
        <v>0</v>
      </c>
      <c r="AB1067" s="49">
        <f>ROUND((R1063*V1067*F1063*O1063/1000000),4)</f>
        <v>0</v>
      </c>
      <c r="AC1067" s="50" t="s">
        <v>250</v>
      </c>
      <c r="AD1067" s="51" t="s">
        <v>208</v>
      </c>
      <c r="AE1067" s="44">
        <f>ROUND((((X1067*E1063)/1800)),4)</f>
        <v>1.5100000000000001E-2</v>
      </c>
      <c r="AF1067" s="44">
        <f>ROUND(((Z1067+AA1067+AB1067)),4)</f>
        <v>7.6E-3</v>
      </c>
      <c r="AG1067" s="88"/>
      <c r="AH1067" s="88"/>
    </row>
    <row r="1068" spans="1:34" ht="12.95" customHeight="1" x14ac:dyDescent="0.25">
      <c r="A1068" s="89"/>
      <c r="B1068" s="62"/>
      <c r="C1068" s="56"/>
      <c r="D1068" s="56"/>
      <c r="E1068" s="56"/>
      <c r="F1068" s="56"/>
      <c r="G1068" s="56"/>
      <c r="H1068" s="56"/>
      <c r="I1068" s="56"/>
      <c r="J1068" s="56"/>
      <c r="K1068" s="56"/>
      <c r="L1068" s="59">
        <v>3.37</v>
      </c>
      <c r="M1068" s="59">
        <v>4.1100000000000003</v>
      </c>
      <c r="N1068" s="56"/>
      <c r="O1068" s="56"/>
      <c r="P1068" s="56"/>
      <c r="Q1068" s="56"/>
      <c r="R1068" s="56"/>
      <c r="S1068" s="61">
        <v>6.31</v>
      </c>
      <c r="T1068" s="48">
        <f>ROUND((L1068*I1063+1.3*L1068*K1063+S1068*H1063),4)</f>
        <v>1513.4475</v>
      </c>
      <c r="U1068" s="48">
        <f>ROUND((M1068*0.9*I1063+1.3*M1068*0.9*K1063+S1068*H1063),4)</f>
        <v>1624.2383</v>
      </c>
      <c r="V1068" s="48">
        <f>ROUND((M1068*I1063+1.3*M1068*K1063+S1068*H1063),4)</f>
        <v>1762.6424999999999</v>
      </c>
      <c r="W1068" s="48">
        <f>ROUND((L1068*J1063+1.3*L1068*N1063+S1068*G1063),4)</f>
        <v>128.85</v>
      </c>
      <c r="X1068" s="48">
        <f>ROUND((M1068*0.9*J1063+1.3*M1068*0.9*N1063+S1068*G1063),4)</f>
        <v>137.733</v>
      </c>
      <c r="Y1068" s="48">
        <f>ROUND((M1068*J1063+1.3*M1068*N1063+S1068*G1063),4)</f>
        <v>148.83000000000001</v>
      </c>
      <c r="Z1068" s="49">
        <f>ROUND((P1063*T1068*F1063*O1063/1000000),4)</f>
        <v>4.5400000000000003E-2</v>
      </c>
      <c r="AA1068" s="49">
        <f>ROUND((Q1063*U1068*F1063*O1063/1000000),4)</f>
        <v>0</v>
      </c>
      <c r="AB1068" s="49">
        <f>ROUND((R1063*V1068*F1063*O1063/1000000),4)</f>
        <v>0</v>
      </c>
      <c r="AC1068" s="50" t="s">
        <v>170</v>
      </c>
      <c r="AD1068" s="51" t="s">
        <v>162</v>
      </c>
      <c r="AE1068" s="44">
        <f>ROUND((((X1068*E1063)/1800)),4)</f>
        <v>7.6499999999999999E-2</v>
      </c>
      <c r="AF1068" s="44">
        <f>ROUND(((Z1068+AA1068+AB1068)),4)</f>
        <v>4.5400000000000003E-2</v>
      </c>
      <c r="AG1068" s="88"/>
      <c r="AH1068" s="88"/>
    </row>
    <row r="1069" spans="1:34" ht="12.95" customHeight="1" x14ac:dyDescent="0.25">
      <c r="A1069" s="52"/>
      <c r="B1069" s="67" t="s">
        <v>220</v>
      </c>
      <c r="C1069" s="46">
        <v>7</v>
      </c>
      <c r="D1069" s="45" t="s">
        <v>217</v>
      </c>
      <c r="E1069" s="45">
        <v>1</v>
      </c>
      <c r="F1069" s="45">
        <v>1</v>
      </c>
      <c r="G1069" s="45">
        <v>6</v>
      </c>
      <c r="H1069" s="45">
        <v>60</v>
      </c>
      <c r="I1069" s="45">
        <f>(8-1-0.75*2)*60*F1069-K1069-8*0.12*60</f>
        <v>57.900000000000006</v>
      </c>
      <c r="J1069" s="45">
        <v>14</v>
      </c>
      <c r="K1069" s="45">
        <f>(8-1-0.75*2)*0.65*60*F1069</f>
        <v>214.5</v>
      </c>
      <c r="L1069" s="48">
        <v>10.16</v>
      </c>
      <c r="M1069" s="48">
        <v>10.16</v>
      </c>
      <c r="N1069" s="45">
        <v>10</v>
      </c>
      <c r="O1069" s="45">
        <f>E1069/F1069</f>
        <v>1</v>
      </c>
      <c r="P1069" s="45">
        <v>15</v>
      </c>
      <c r="Q1069" s="45">
        <v>15</v>
      </c>
      <c r="R1069" s="47">
        <v>0</v>
      </c>
      <c r="S1069" s="47">
        <v>1.99</v>
      </c>
      <c r="T1069" s="48">
        <f>ROUND((L1069*I1069+1.3*L1069*K1069+S1069*H1069),4)</f>
        <v>3540.78</v>
      </c>
      <c r="U1069" s="48">
        <f>ROUND((M1069*I1069+1.3*M1069*K1069+S1069*H1069),4)</f>
        <v>3540.78</v>
      </c>
      <c r="V1069" s="48">
        <f>ROUND((M1069*I1069+1.3*M1069*K1069+S1069*H1069),4)</f>
        <v>3540.78</v>
      </c>
      <c r="W1069" s="48">
        <f>ROUND((L1069*J1069+1.3*L1069*N1069+S1069*G1069),4)</f>
        <v>286.26</v>
      </c>
      <c r="X1069" s="48">
        <f>ROUND((M1069*J1069+1.3*M1069*N1069+S1069*G1069),4)</f>
        <v>286.26</v>
      </c>
      <c r="Y1069" s="48">
        <f>ROUND((M1069*J1069+1.3*M1069*N1069+S1069*G1069),4)</f>
        <v>286.26</v>
      </c>
      <c r="Z1069" s="49">
        <f>ROUND((P1069*T1069*F1069*O1069/1000000),4)</f>
        <v>5.3100000000000001E-2</v>
      </c>
      <c r="AA1069" s="49">
        <f>ROUND((Q1069*U1069*F1069*O1069/1000000),4)</f>
        <v>5.3100000000000001E-2</v>
      </c>
      <c r="AB1069" s="49">
        <f>ROUND((R1069*V1069*F1069*O1069/1000000),4)</f>
        <v>0</v>
      </c>
      <c r="AC1069" s="50" t="s">
        <v>200</v>
      </c>
      <c r="AD1069" s="51" t="s">
        <v>153</v>
      </c>
      <c r="AE1069" s="44">
        <f>ROUND((((X1069*E1069)/1800)*0.8),4)</f>
        <v>0.12720000000000001</v>
      </c>
      <c r="AF1069" s="44">
        <f>ROUND(((Z1069+AA1069+AB1069)*0.8),4)</f>
        <v>8.5000000000000006E-2</v>
      </c>
    </row>
    <row r="1070" spans="1:34" ht="12.95" customHeight="1" x14ac:dyDescent="0.25">
      <c r="A1070" s="52"/>
      <c r="B1070" s="53" t="s">
        <v>221</v>
      </c>
      <c r="C1070" s="52"/>
      <c r="D1070" s="52"/>
      <c r="E1070" s="52"/>
      <c r="F1070" s="52"/>
      <c r="G1070" s="52"/>
      <c r="H1070" s="52"/>
      <c r="I1070" s="52"/>
      <c r="J1070" s="52"/>
      <c r="K1070" s="52"/>
      <c r="L1070" s="56"/>
      <c r="M1070" s="56"/>
      <c r="N1070" s="52"/>
      <c r="O1070" s="52"/>
      <c r="P1070" s="52"/>
      <c r="Q1070" s="52"/>
      <c r="R1070" s="52"/>
      <c r="S1070" s="57"/>
      <c r="T1070" s="54"/>
      <c r="U1070" s="54"/>
      <c r="V1070" s="54"/>
      <c r="W1070" s="54"/>
      <c r="X1070" s="54"/>
      <c r="Y1070" s="54"/>
      <c r="Z1070" s="54"/>
      <c r="AA1070" s="54"/>
      <c r="AB1070" s="54"/>
      <c r="AC1070" s="50" t="s">
        <v>201</v>
      </c>
      <c r="AD1070" s="51" t="s">
        <v>202</v>
      </c>
      <c r="AE1070" s="44">
        <f>ROUND((((X1069*E1069)/1800)*0.13),4)</f>
        <v>2.07E-2</v>
      </c>
      <c r="AF1070" s="44">
        <f>ROUND(((Z1069+AA1069+AB1069)*0.13),4)</f>
        <v>1.38E-2</v>
      </c>
    </row>
    <row r="1071" spans="1:34" ht="12.95" customHeight="1" x14ac:dyDescent="0.25">
      <c r="A1071" s="52"/>
      <c r="B1071" s="88"/>
      <c r="C1071" s="55"/>
      <c r="D1071" s="55"/>
      <c r="E1071" s="52"/>
      <c r="F1071" s="52"/>
      <c r="G1071" s="52"/>
      <c r="H1071" s="52"/>
      <c r="I1071" s="52"/>
      <c r="J1071" s="52"/>
      <c r="K1071" s="52"/>
      <c r="L1071" s="59">
        <v>0.8</v>
      </c>
      <c r="M1071" s="59">
        <v>0.98</v>
      </c>
      <c r="N1071" s="52"/>
      <c r="O1071" s="52"/>
      <c r="P1071" s="52"/>
      <c r="Q1071" s="52"/>
      <c r="R1071" s="52"/>
      <c r="S1071" s="60">
        <v>0.39</v>
      </c>
      <c r="T1071" s="48">
        <f>ROUND((L1071*I1069+1.3*L1071*K1069+S1071*H1069),4)</f>
        <v>292.8</v>
      </c>
      <c r="U1071" s="48">
        <f>ROUND((M1071*0.9*I1069+1.3*M1071*0.9*K1069+S1071*H1069),4)</f>
        <v>320.4135</v>
      </c>
      <c r="V1071" s="48">
        <f>ROUND((M1071*I1069+1.3*M1071*K1069+S1071*H1069),4)</f>
        <v>353.41500000000002</v>
      </c>
      <c r="W1071" s="48">
        <f>ROUND((L1071*J1069+1.3*L1071*N1069+S1071*G1069),4)</f>
        <v>23.94</v>
      </c>
      <c r="X1071" s="48">
        <f>ROUND((M1071*0.9*J1069+1.3*M1071*0.9*N1069+S1071*G1069),4)</f>
        <v>26.154</v>
      </c>
      <c r="Y1071" s="48">
        <f>ROUND((M1071*J1069+1.3*M1071*N1069+S1071*G1069),4)</f>
        <v>28.8</v>
      </c>
      <c r="Z1071" s="49">
        <f>ROUND((P1069*T1071*F1069*O1069/1000000),4)</f>
        <v>4.4000000000000003E-3</v>
      </c>
      <c r="AA1071" s="49">
        <f>ROUND((Q1069*U1071*F1069*O1069/1000000),4)</f>
        <v>4.7999999999999996E-3</v>
      </c>
      <c r="AB1071" s="49">
        <f>ROUND((R1069*V1071*F1069*O1069/1000000),4)</f>
        <v>0</v>
      </c>
      <c r="AC1071" s="50" t="s">
        <v>203</v>
      </c>
      <c r="AD1071" s="51" t="s">
        <v>204</v>
      </c>
      <c r="AE1071" s="44">
        <f>ROUND((((X1071*E1069)/1800)),4)</f>
        <v>1.4500000000000001E-2</v>
      </c>
      <c r="AF1071" s="44">
        <f>ROUND(((Z1071+AA1071+AB1071)),5)</f>
        <v>9.1999999999999998E-3</v>
      </c>
    </row>
    <row r="1072" spans="1:34" ht="12.95" customHeight="1" x14ac:dyDescent="0.25">
      <c r="A1072" s="52"/>
      <c r="B1072" s="88"/>
      <c r="C1072" s="52"/>
      <c r="D1072" s="52"/>
      <c r="E1072" s="52"/>
      <c r="F1072" s="52"/>
      <c r="G1072" s="52"/>
      <c r="H1072" s="52"/>
      <c r="I1072" s="52"/>
      <c r="J1072" s="52"/>
      <c r="K1072" s="52"/>
      <c r="L1072" s="59">
        <v>1.79</v>
      </c>
      <c r="M1072" s="59">
        <v>2.15</v>
      </c>
      <c r="N1072" s="52"/>
      <c r="O1072" s="52"/>
      <c r="P1072" s="52"/>
      <c r="Q1072" s="52"/>
      <c r="R1072" s="52"/>
      <c r="S1072" s="61">
        <v>1.24</v>
      </c>
      <c r="T1072" s="48">
        <f>ROUND((L1072*I1069+1.3*L1072*K1069+S1072*H1069),4)</f>
        <v>677.1825</v>
      </c>
      <c r="U1072" s="48">
        <f>ROUND((M1072*0.9*I1069+1.3*M1072*0.9*K1069+S1072*H1069),4)</f>
        <v>726.01130000000001</v>
      </c>
      <c r="V1072" s="48">
        <f>ROUND((M1072*I1069+1.3*M1072*K1069+S1072*H1069),4)</f>
        <v>798.41250000000002</v>
      </c>
      <c r="W1072" s="48">
        <f>ROUND((L1072*J1069+1.3*L1072*N1069+S1072*G1069),4)</f>
        <v>55.77</v>
      </c>
      <c r="X1072" s="48">
        <f>ROUND((M1072*0.9*J1069+1.3*M1072*0.9*N1069+S1072*G1069),4)</f>
        <v>59.685000000000002</v>
      </c>
      <c r="Y1072" s="48">
        <f>ROUND((M1072*J1069+1.3*N1069+S1072*G1069),4)</f>
        <v>50.54</v>
      </c>
      <c r="Z1072" s="49">
        <f>ROUND((P1069*T1072*F1069*O1069/1000000),4)</f>
        <v>1.0200000000000001E-2</v>
      </c>
      <c r="AA1072" s="49">
        <f>ROUND((Q1069*U1072*F1069*O1069/1000000),4)</f>
        <v>1.09E-2</v>
      </c>
      <c r="AB1072" s="49">
        <f>ROUND((R1069*V1072*F1069*O1069/1000000),4)</f>
        <v>0</v>
      </c>
      <c r="AC1072" s="50" t="s">
        <v>205</v>
      </c>
      <c r="AD1072" s="51" t="s">
        <v>206</v>
      </c>
      <c r="AE1072" s="44">
        <f>ROUND((((X1072*E1069)/1800)),4)</f>
        <v>3.32E-2</v>
      </c>
      <c r="AF1072" s="44">
        <f>ROUND(((Z1072+AA1072+AB1072)),4)</f>
        <v>2.1100000000000001E-2</v>
      </c>
    </row>
    <row r="1073" spans="1:34" ht="12.95" customHeight="1" x14ac:dyDescent="0.25">
      <c r="A1073" s="52"/>
      <c r="B1073" s="53"/>
      <c r="C1073" s="52"/>
      <c r="D1073" s="52"/>
      <c r="E1073" s="52"/>
      <c r="F1073" s="52"/>
      <c r="G1073" s="52"/>
      <c r="H1073" s="52"/>
      <c r="I1073" s="52"/>
      <c r="J1073" s="52"/>
      <c r="K1073" s="52"/>
      <c r="L1073" s="59">
        <v>1.1299999999999999</v>
      </c>
      <c r="M1073" s="59">
        <v>1.7</v>
      </c>
      <c r="N1073" s="52"/>
      <c r="O1073" s="52"/>
      <c r="P1073" s="52"/>
      <c r="Q1073" s="52"/>
      <c r="R1073" s="52"/>
      <c r="S1073" s="61">
        <v>0.26</v>
      </c>
      <c r="T1073" s="48">
        <f>ROUND((L1073*I1069+1.3*L1073*K1069+S1073*H1069),4)</f>
        <v>396.1275</v>
      </c>
      <c r="U1073" s="48">
        <f>ROUND((M1073*0.9*I1069+1.3*M1073*0.9*K1069+S1073*H1069),4)</f>
        <v>530.82749999999999</v>
      </c>
      <c r="V1073" s="48">
        <f>ROUND((M1073*I1069+1.3*M1073*K1069+S1073*H1069),4)</f>
        <v>588.07500000000005</v>
      </c>
      <c r="W1073" s="48">
        <f>ROUND((L1073*J1069+1.3*L1073*N1069+S1073*G1069),4)</f>
        <v>32.07</v>
      </c>
      <c r="X1073" s="48">
        <f>ROUND((M1073*0.9*J1069+1.3*M1073*0.9*N1069+S1073*G1069),4)</f>
        <v>42.87</v>
      </c>
      <c r="Y1073" s="48">
        <f>ROUND((M1073*J1069+1.3*M1073*N1069+S1073*G1069),4)</f>
        <v>47.46</v>
      </c>
      <c r="Z1073" s="49">
        <f>ROUND((P1069*T1073*F1069*O1069/1000000),4)</f>
        <v>5.8999999999999999E-3</v>
      </c>
      <c r="AA1073" s="49">
        <f>ROUND((Q1069*U1073*F1069*O1069/1000000),4)</f>
        <v>8.0000000000000002E-3</v>
      </c>
      <c r="AB1073" s="49">
        <f>ROUND((R1069*V1073*F1069*O1069/1000000),4)</f>
        <v>0</v>
      </c>
      <c r="AC1073" s="50" t="s">
        <v>250</v>
      </c>
      <c r="AD1073" s="51" t="s">
        <v>208</v>
      </c>
      <c r="AE1073" s="44">
        <f>ROUND((((X1073*E1069)/1800)),4)</f>
        <v>2.3800000000000002E-2</v>
      </c>
      <c r="AF1073" s="44">
        <f>ROUND(((Z1073+AA1073+AB1073)),4)</f>
        <v>1.3899999999999999E-2</v>
      </c>
    </row>
    <row r="1074" spans="1:34" ht="12.95" customHeight="1" x14ac:dyDescent="0.25">
      <c r="A1074" s="52"/>
      <c r="B1074" s="62"/>
      <c r="C1074" s="56"/>
      <c r="D1074" s="56"/>
      <c r="E1074" s="56"/>
      <c r="F1074" s="56"/>
      <c r="G1074" s="56"/>
      <c r="H1074" s="56"/>
      <c r="I1074" s="56"/>
      <c r="J1074" s="56"/>
      <c r="K1074" s="56"/>
      <c r="L1074" s="59">
        <v>5.3</v>
      </c>
      <c r="M1074" s="59">
        <v>6.47</v>
      </c>
      <c r="N1074" s="56"/>
      <c r="O1074" s="56"/>
      <c r="P1074" s="56"/>
      <c r="Q1074" s="56"/>
      <c r="R1074" s="56"/>
      <c r="S1074" s="61">
        <v>9.92</v>
      </c>
      <c r="T1074" s="48">
        <f>ROUND((L1074*I1069+1.3*L1074*K1069+S1074*H1069),4)</f>
        <v>2379.9749999999999</v>
      </c>
      <c r="U1074" s="48">
        <f>ROUND((M1074*0.9*I1069+1.3*M1074*0.9*K1069+S1074*H1069),4)</f>
        <v>2556.0953</v>
      </c>
      <c r="V1074" s="48">
        <f>ROUND((M1074*I1069+1.3*M1074*K1069+S1074*H1069),4)</f>
        <v>2773.9724999999999</v>
      </c>
      <c r="W1074" s="48">
        <f>ROUND((L1074*J1069+1.3*L1074*N1069+S1074*G1069),4)</f>
        <v>202.62</v>
      </c>
      <c r="X1074" s="48">
        <f>ROUND((M1074*0.9*J1069+1.3*M1074*0.9*N1069+S1074*G1069),4)</f>
        <v>216.74100000000001</v>
      </c>
      <c r="Y1074" s="48">
        <f>ROUND((M1074*J1069+1.3*M1074*N1069+S1074*G1069),4)</f>
        <v>234.21</v>
      </c>
      <c r="Z1074" s="49">
        <f>ROUND((P1069*T1074*F1069*O1069/1000000),4)</f>
        <v>3.5700000000000003E-2</v>
      </c>
      <c r="AA1074" s="49">
        <f>ROUND((Q1069*U1074*F1069*O1069/1000000),4)</f>
        <v>3.8300000000000001E-2</v>
      </c>
      <c r="AB1074" s="49">
        <f>ROUND((R1069*V1074*F1069*O1069/1000000),4)</f>
        <v>0</v>
      </c>
      <c r="AC1074" s="50" t="s">
        <v>170</v>
      </c>
      <c r="AD1074" s="51" t="s">
        <v>162</v>
      </c>
      <c r="AE1074" s="44">
        <f>ROUND((((X1074*E1069)/1800)),4)</f>
        <v>0.12039999999999999</v>
      </c>
      <c r="AF1074" s="44">
        <f>ROUND(((Z1074+AA1074+AB1074)),4)</f>
        <v>7.3999999999999996E-2</v>
      </c>
    </row>
    <row r="1075" spans="1:34" ht="12.95" customHeight="1" x14ac:dyDescent="0.25">
      <c r="A1075" s="52"/>
      <c r="B1075" s="67" t="s">
        <v>242</v>
      </c>
      <c r="C1075" s="46">
        <v>3</v>
      </c>
      <c r="D1075" s="45" t="s">
        <v>228</v>
      </c>
      <c r="E1075" s="45">
        <v>1</v>
      </c>
      <c r="F1075" s="45">
        <v>1</v>
      </c>
      <c r="G1075" s="45">
        <v>6</v>
      </c>
      <c r="H1075" s="45">
        <v>60</v>
      </c>
      <c r="I1075" s="45">
        <f>(8-1-0.75*2)*60*F1075-K1075-8*0.12*60</f>
        <v>57.900000000000006</v>
      </c>
      <c r="J1075" s="45">
        <v>14</v>
      </c>
      <c r="K1075" s="45">
        <f>(8-1-0.75*2)*0.65*60*F1075</f>
        <v>214.5</v>
      </c>
      <c r="L1075" s="48">
        <v>1.49</v>
      </c>
      <c r="M1075" s="48">
        <v>1.49</v>
      </c>
      <c r="N1075" s="45">
        <v>10</v>
      </c>
      <c r="O1075" s="45">
        <f>E1075/F1075</f>
        <v>1</v>
      </c>
      <c r="P1075" s="45">
        <v>180</v>
      </c>
      <c r="Q1075" s="45">
        <v>90</v>
      </c>
      <c r="R1075" s="47">
        <v>90</v>
      </c>
      <c r="S1075" s="47">
        <v>0.28999999999999998</v>
      </c>
      <c r="T1075" s="48">
        <f>ROUND((L1075*I1075+1.3*L1075*K1075+S1075*H1075),4)</f>
        <v>519.15750000000003</v>
      </c>
      <c r="U1075" s="48">
        <f>ROUND((M1075*I1075+1.3*M1075*K1075+S1075*H1075),4)</f>
        <v>519.15750000000003</v>
      </c>
      <c r="V1075" s="48">
        <f>ROUND((M1075*I1075+1.3*M1075*K1075+S1075*H1075),4)</f>
        <v>519.15750000000003</v>
      </c>
      <c r="W1075" s="48">
        <f>ROUND((L1075*J1075+1.3*L1075*N1075+S1075*G1075),4)</f>
        <v>41.97</v>
      </c>
      <c r="X1075" s="48">
        <f>ROUND((M1075*J1075+1.3*M1075*N1075+S1075*G1075),4)</f>
        <v>41.97</v>
      </c>
      <c r="Y1075" s="48">
        <f>ROUND((M1075*J1075+1.3*M1075*N1075+S1075*G1075),4)</f>
        <v>41.97</v>
      </c>
      <c r="Z1075" s="49">
        <f>ROUND((P1075*T1075*F1075*O1075/1000000),4)</f>
        <v>9.3399999999999997E-2</v>
      </c>
      <c r="AA1075" s="49">
        <f>ROUND((Q1075*U1075*F1075*O1075/1000000),4)</f>
        <v>4.6699999999999998E-2</v>
      </c>
      <c r="AB1075" s="49">
        <f>ROUND((R1075*V1075*F1075*O1075/1000000),4)</f>
        <v>4.6699999999999998E-2</v>
      </c>
      <c r="AC1075" s="50" t="s">
        <v>200</v>
      </c>
      <c r="AD1075" s="51" t="s">
        <v>153</v>
      </c>
      <c r="AE1075" s="44">
        <f>ROUND((((X1075*E1075)/1800)*0.8),4)</f>
        <v>1.8700000000000001E-2</v>
      </c>
      <c r="AF1075" s="44">
        <f>ROUND(((Z1075+AA1075+AB1075)*0.8),4)</f>
        <v>0.14940000000000001</v>
      </c>
      <c r="AG1075" s="88"/>
      <c r="AH1075" s="88"/>
    </row>
    <row r="1076" spans="1:34" ht="12.95" customHeight="1" x14ac:dyDescent="0.25">
      <c r="A1076" s="52"/>
      <c r="B1076" s="53" t="s">
        <v>243</v>
      </c>
      <c r="C1076" s="52"/>
      <c r="D1076" s="52"/>
      <c r="E1076" s="52"/>
      <c r="F1076" s="52"/>
      <c r="G1076" s="52"/>
      <c r="H1076" s="52"/>
      <c r="I1076" s="52"/>
      <c r="J1076" s="52"/>
      <c r="K1076" s="52"/>
      <c r="L1076" s="56"/>
      <c r="M1076" s="56"/>
      <c r="N1076" s="52"/>
      <c r="O1076" s="52"/>
      <c r="P1076" s="52"/>
      <c r="Q1076" s="52"/>
      <c r="R1076" s="52"/>
      <c r="S1076" s="57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0" t="s">
        <v>201</v>
      </c>
      <c r="AD1076" s="51" t="s">
        <v>202</v>
      </c>
      <c r="AE1076" s="44">
        <f>ROUND((((X1075*E1075)/1800)*0.13),4)</f>
        <v>3.0000000000000001E-3</v>
      </c>
      <c r="AF1076" s="44">
        <f>ROUND(((Z1075+AA1075+AB1075)*0.13),4)</f>
        <v>2.4299999999999999E-2</v>
      </c>
      <c r="AG1076" s="88"/>
      <c r="AH1076" s="88"/>
    </row>
    <row r="1077" spans="1:34" ht="12.95" customHeight="1" x14ac:dyDescent="0.25">
      <c r="A1077" s="52"/>
      <c r="B1077" s="88"/>
      <c r="C1077" s="55"/>
      <c r="D1077" s="55"/>
      <c r="E1077" s="52"/>
      <c r="F1077" s="63"/>
      <c r="G1077" s="52"/>
      <c r="H1077" s="52"/>
      <c r="I1077" s="52"/>
      <c r="J1077" s="52"/>
      <c r="K1077" s="52"/>
      <c r="L1077" s="59">
        <v>0.12</v>
      </c>
      <c r="M1077" s="59">
        <v>0.15</v>
      </c>
      <c r="N1077" s="52"/>
      <c r="O1077" s="52"/>
      <c r="P1077" s="52"/>
      <c r="Q1077" s="52"/>
      <c r="R1077" s="52"/>
      <c r="S1077" s="60">
        <v>5.8000000000000003E-2</v>
      </c>
      <c r="T1077" s="48">
        <f>ROUND((L1077*I1075+1.3*L1077*K1075+S1077*H1075),4)</f>
        <v>43.89</v>
      </c>
      <c r="U1077" s="48">
        <f>ROUND((M1077*0.9*I1075+1.3*M1077*0.9*K1075+S1077*H1075),4)</f>
        <v>48.941299999999998</v>
      </c>
      <c r="V1077" s="48">
        <f>ROUND((M1077*I1075+1.3*M1077*K1075+S1077*H1075),4)</f>
        <v>53.9925</v>
      </c>
      <c r="W1077" s="48">
        <f>ROUND((L1077*J1075+1.3*L1077*N1075+S1077*G1075),4)</f>
        <v>3.5880000000000001</v>
      </c>
      <c r="X1077" s="48">
        <f>ROUND((M1077*0.9*J1075+1.3*M1077*0.9*N1075+S1077*G1075),4)</f>
        <v>3.9929999999999999</v>
      </c>
      <c r="Y1077" s="48">
        <f>ROUND((M1077*J1075+1.3*M1077*N1075+S1077*G1075),4)</f>
        <v>4.3979999999999997</v>
      </c>
      <c r="Z1077" s="49">
        <f>ROUND((P1075*T1077*F1075*O1075/1000000),4)</f>
        <v>7.9000000000000008E-3</v>
      </c>
      <c r="AA1077" s="49">
        <f>ROUND((Q1075*U1077*F1075*O1075/1000000),4)</f>
        <v>4.4000000000000003E-3</v>
      </c>
      <c r="AB1077" s="49">
        <f>ROUND((R1075*V1077*F1075*O1075/1000000),4)</f>
        <v>4.8999999999999998E-3</v>
      </c>
      <c r="AC1077" s="50" t="s">
        <v>203</v>
      </c>
      <c r="AD1077" s="51" t="s">
        <v>204</v>
      </c>
      <c r="AE1077" s="44">
        <f>ROUND((((X1077*E1075)/1800)),4)</f>
        <v>2.2000000000000001E-3</v>
      </c>
      <c r="AF1077" s="44">
        <f>ROUND(((Z1077+AA1077+AB1077)),5)</f>
        <v>1.72E-2</v>
      </c>
      <c r="AG1077" s="88"/>
      <c r="AH1077" s="88"/>
    </row>
    <row r="1078" spans="1:34" ht="12.95" customHeight="1" x14ac:dyDescent="0.25">
      <c r="A1078" s="52"/>
      <c r="B1078" s="88"/>
      <c r="C1078" s="52"/>
      <c r="D1078" s="52"/>
      <c r="E1078" s="52"/>
      <c r="F1078" s="63"/>
      <c r="G1078" s="52"/>
      <c r="H1078" s="52"/>
      <c r="I1078" s="52"/>
      <c r="J1078" s="52"/>
      <c r="K1078" s="52"/>
      <c r="L1078" s="59">
        <v>0.26</v>
      </c>
      <c r="M1078" s="59">
        <v>0.31</v>
      </c>
      <c r="N1078" s="52"/>
      <c r="O1078" s="52"/>
      <c r="P1078" s="52"/>
      <c r="Q1078" s="52"/>
      <c r="R1078" s="52"/>
      <c r="S1078" s="61">
        <v>0.18</v>
      </c>
      <c r="T1078" s="48">
        <f>ROUND((L1078*I1075+1.3*L1078*K1075+S1078*H1075),4)</f>
        <v>98.355000000000004</v>
      </c>
      <c r="U1078" s="48">
        <f>ROUND((M1078*0.9*I1075+1.3*M1078*0.9*K1075+S1078*H1075),4)</f>
        <v>104.7533</v>
      </c>
      <c r="V1078" s="48">
        <f>ROUND((M1078*I1075+1.3*M1078*K1075+S1078*H1075),4)</f>
        <v>115.1925</v>
      </c>
      <c r="W1078" s="48">
        <f>ROUND((L1078*J1075+1.3*L1078*N1075+S1078*G1075),4)</f>
        <v>8.1</v>
      </c>
      <c r="X1078" s="48">
        <f>ROUND((M1078*0.9*J1075+1.3*M1078*0.9*N1075+S1078*G1075),4)</f>
        <v>8.6129999999999995</v>
      </c>
      <c r="Y1078" s="48">
        <f>ROUND((M1078*J1075+1.3*N1075+S1078*G1075),4)</f>
        <v>18.420000000000002</v>
      </c>
      <c r="Z1078" s="49">
        <f>ROUND((P1075*T1078*F1075*O1075/1000000),4)</f>
        <v>1.77E-2</v>
      </c>
      <c r="AA1078" s="49">
        <f>ROUND((Q1075*U1078*F1075*O1075/1000000),4)</f>
        <v>9.4000000000000004E-3</v>
      </c>
      <c r="AB1078" s="49">
        <f>ROUND((R1075*V1078*F1075*O1075/1000000),4)</f>
        <v>1.04E-2</v>
      </c>
      <c r="AC1078" s="50" t="s">
        <v>205</v>
      </c>
      <c r="AD1078" s="51" t="s">
        <v>206</v>
      </c>
      <c r="AE1078" s="44">
        <f>ROUND((((X1078*E1075)/1800)),4)</f>
        <v>4.7999999999999996E-3</v>
      </c>
      <c r="AF1078" s="44">
        <f>ROUND(((Z1078+AA1078+AB1078)),4)</f>
        <v>3.7499999999999999E-2</v>
      </c>
      <c r="AG1078" s="88"/>
      <c r="AH1078" s="88"/>
    </row>
    <row r="1079" spans="1:34" ht="12.95" customHeight="1" x14ac:dyDescent="0.25">
      <c r="A1079" s="52"/>
      <c r="B1079" s="53"/>
      <c r="C1079" s="52"/>
      <c r="D1079" s="52"/>
      <c r="E1079" s="52"/>
      <c r="F1079" s="63"/>
      <c r="G1079" s="52"/>
      <c r="H1079" s="52"/>
      <c r="I1079" s="52"/>
      <c r="J1079" s="52"/>
      <c r="K1079" s="52"/>
      <c r="L1079" s="59">
        <v>0.17</v>
      </c>
      <c r="M1079" s="59">
        <v>0.25</v>
      </c>
      <c r="N1079" s="52"/>
      <c r="O1079" s="52"/>
      <c r="P1079" s="52"/>
      <c r="Q1079" s="52"/>
      <c r="R1079" s="52"/>
      <c r="S1079" s="61">
        <v>0.04</v>
      </c>
      <c r="T1079" s="48">
        <f>ROUND((L1079*I1075+1.3*L1079*K1075+S1079*H1075),4)</f>
        <v>59.647500000000001</v>
      </c>
      <c r="U1079" s="48">
        <f>ROUND((M1079*0.9*I1075+1.3*M1079*0.9*K1075+S1079*H1075),4)</f>
        <v>78.168800000000005</v>
      </c>
      <c r="V1079" s="48">
        <f>ROUND((M1079*I1075+1.3*M1079*K1075+S1079*H1075),4)</f>
        <v>86.587500000000006</v>
      </c>
      <c r="W1079" s="48">
        <f>ROUND((L1079*J1075+1.3*L1079*N1075+S1079*G1075),4)</f>
        <v>4.83</v>
      </c>
      <c r="X1079" s="48">
        <f>ROUND((M1079*0.9*J1075+1.3*M1079*0.9*N1075+S1079*G1075),4)</f>
        <v>6.3150000000000004</v>
      </c>
      <c r="Y1079" s="48">
        <f>ROUND((M1079*J1075+1.3*M1079*N1075+S1079*G1075),4)</f>
        <v>6.99</v>
      </c>
      <c r="Z1079" s="49">
        <f>ROUND((P1075*T1079*F1075*O1075/1000000),4)</f>
        <v>1.0699999999999999E-2</v>
      </c>
      <c r="AA1079" s="49">
        <f>ROUND((Q1075*U1079*F1075*O1075/1000000),4)</f>
        <v>7.0000000000000001E-3</v>
      </c>
      <c r="AB1079" s="49">
        <f>ROUND((R1075*V1079*F1075*O1075/1000000),4)</f>
        <v>7.7999999999999996E-3</v>
      </c>
      <c r="AC1079" s="50" t="s">
        <v>250</v>
      </c>
      <c r="AD1079" s="51" t="s">
        <v>208</v>
      </c>
      <c r="AE1079" s="44">
        <f>ROUND((((X1079*E1075)/1800)),4)</f>
        <v>3.5000000000000001E-3</v>
      </c>
      <c r="AF1079" s="44">
        <f>ROUND(((Z1079+AA1079+AB1079)),4)</f>
        <v>2.5499999999999998E-2</v>
      </c>
      <c r="AG1079" s="88"/>
      <c r="AH1079" s="88"/>
    </row>
    <row r="1080" spans="1:34" ht="12.95" customHeight="1" x14ac:dyDescent="0.25">
      <c r="A1080" s="56"/>
      <c r="B1080" s="62"/>
      <c r="C1080" s="56"/>
      <c r="D1080" s="56"/>
      <c r="E1080" s="56"/>
      <c r="F1080" s="66"/>
      <c r="G1080" s="56"/>
      <c r="H1080" s="56"/>
      <c r="I1080" s="56"/>
      <c r="J1080" s="56"/>
      <c r="K1080" s="56"/>
      <c r="L1080" s="59">
        <v>0.77</v>
      </c>
      <c r="M1080" s="59">
        <v>0.94</v>
      </c>
      <c r="N1080" s="56"/>
      <c r="O1080" s="56"/>
      <c r="P1080" s="56"/>
      <c r="Q1080" s="56"/>
      <c r="R1080" s="56"/>
      <c r="S1080" s="61">
        <v>1.44</v>
      </c>
      <c r="T1080" s="48">
        <f>ROUND((L1080*I1075+1.3*L1080*K1075+S1080*H1075),4)</f>
        <v>345.69749999999999</v>
      </c>
      <c r="U1080" s="48">
        <f>ROUND((M1080*0.9*I1075+1.3*M1080*0.9*K1075+S1080*H1075),4)</f>
        <v>371.29050000000001</v>
      </c>
      <c r="V1080" s="48">
        <f>ROUND((M1080*I1075+1.3*M1080*K1075+S1080*H1075),4)</f>
        <v>402.94499999999999</v>
      </c>
      <c r="W1080" s="48">
        <f>ROUND((L1080*J1075+1.3*L1080*N1075+S1080*G1075),4)</f>
        <v>29.43</v>
      </c>
      <c r="X1080" s="48">
        <f>ROUND((M1080*0.9*J1075+1.3*M1080*0.9*N1075+S1080*G1075),4)</f>
        <v>31.481999999999999</v>
      </c>
      <c r="Y1080" s="48">
        <f>ROUND((M1080*J1075+1.3*M1080*N1075+S1080*G1075),4)</f>
        <v>34.020000000000003</v>
      </c>
      <c r="Z1080" s="49">
        <f>ROUND((P1075*T1080*F1075*O1075/1000000),4)</f>
        <v>6.2199999999999998E-2</v>
      </c>
      <c r="AA1080" s="49">
        <f>ROUND((Q1075*U1080*F1075*O1075/1000000),4)</f>
        <v>3.3399999999999999E-2</v>
      </c>
      <c r="AB1080" s="49">
        <f>ROUND((R1075*V1080*F1075*O1075/1000000),4)</f>
        <v>3.6299999999999999E-2</v>
      </c>
      <c r="AC1080" s="50" t="s">
        <v>170</v>
      </c>
      <c r="AD1080" s="51" t="s">
        <v>162</v>
      </c>
      <c r="AE1080" s="44">
        <f>ROUND((((X1080*E1075)/1800)),4)</f>
        <v>1.7500000000000002E-2</v>
      </c>
      <c r="AF1080" s="44">
        <f>ROUND(((Z1080+AA1080+AB1080)),4)</f>
        <v>0.13189999999999999</v>
      </c>
      <c r="AG1080" s="87"/>
      <c r="AH1080" s="87"/>
    </row>
    <row r="1081" spans="1:34" s="285" customFormat="1" ht="12.95" customHeight="1" x14ac:dyDescent="0.2">
      <c r="A1081" s="1057" t="s">
        <v>553</v>
      </c>
      <c r="B1081" s="1058"/>
      <c r="C1081" s="1058"/>
      <c r="D1081" s="1058"/>
      <c r="E1081" s="1058"/>
      <c r="F1081" s="1058"/>
      <c r="G1081" s="1058"/>
      <c r="H1081" s="1058"/>
      <c r="I1081" s="1058"/>
      <c r="J1081" s="1058"/>
      <c r="K1081" s="1058"/>
      <c r="L1081" s="1058"/>
      <c r="M1081" s="1058"/>
      <c r="N1081" s="1058"/>
      <c r="O1081" s="1058"/>
      <c r="P1081" s="1058"/>
      <c r="Q1081" s="1058"/>
      <c r="R1081" s="1058"/>
      <c r="S1081" s="1059"/>
      <c r="T1081" s="280">
        <f>ROUND((L1081*I1081+1.3*L1081*K1081+S1081*H1081),4)</f>
        <v>0</v>
      </c>
      <c r="U1081" s="280">
        <f>ROUND((M1081*I1081+1.3*M1081*K1081+S1081*H1081),4)</f>
        <v>0</v>
      </c>
      <c r="V1081" s="280">
        <f>ROUND((M1081*I1081+1.3*M1081*K1081+S1081*H1081),4)</f>
        <v>0</v>
      </c>
      <c r="W1081" s="280">
        <f>ROUND((L1081*J1081+1.3*L1081*N1081+S1081*G1081),4)</f>
        <v>0</v>
      </c>
      <c r="X1081" s="280">
        <f>ROUND((M1081*J1081+1.3*M1081*N1081+S1081*G1081),4)</f>
        <v>0</v>
      </c>
      <c r="Y1081" s="280">
        <f>ROUND((M1081*J1081+1.3*M1081*N1081+S1081*G1081),4)</f>
        <v>0</v>
      </c>
      <c r="Z1081" s="281">
        <f>ROUND((P1081*T1081*F1081*O1081/1000000),4)</f>
        <v>0</v>
      </c>
      <c r="AA1081" s="281">
        <f>ROUND((Q1081*U1081*F1081*O1081/1000000),4)</f>
        <v>0</v>
      </c>
      <c r="AB1081" s="281">
        <f>ROUND((R1081*V1081*F1081*O1081/1000000),4)</f>
        <v>0</v>
      </c>
      <c r="AC1081" s="282" t="s">
        <v>200</v>
      </c>
      <c r="AD1081" s="283" t="s">
        <v>153</v>
      </c>
      <c r="AE1081" s="284">
        <f>MAX(AE1015,AE1021,AE1027,AE1033,AE1039,AE1045,AE1051,AE1057,AE1063,AE1069,AE1075)</f>
        <v>0.12720000000000001</v>
      </c>
      <c r="AF1081" s="284">
        <f>AF1015+AF1021+AF1027+AF1033+AF1039+AF1045+AF1051+AF1057+AF1063+AF1069+AF1075</f>
        <v>17.2883</v>
      </c>
    </row>
    <row r="1082" spans="1:34" s="285" customFormat="1" ht="12.95" customHeight="1" x14ac:dyDescent="0.2">
      <c r="A1082" s="1057"/>
      <c r="B1082" s="1060"/>
      <c r="C1082" s="1060"/>
      <c r="D1082" s="1060"/>
      <c r="E1082" s="1060"/>
      <c r="F1082" s="1060"/>
      <c r="G1082" s="1060"/>
      <c r="H1082" s="1060"/>
      <c r="I1082" s="1060"/>
      <c r="J1082" s="1060"/>
      <c r="K1082" s="1060"/>
      <c r="L1082" s="1060"/>
      <c r="M1082" s="1060"/>
      <c r="N1082" s="1060"/>
      <c r="O1082" s="1060"/>
      <c r="P1082" s="1060"/>
      <c r="Q1082" s="1060"/>
      <c r="R1082" s="1060"/>
      <c r="S1082" s="1061"/>
      <c r="T1082" s="286"/>
      <c r="U1082" s="286"/>
      <c r="V1082" s="286"/>
      <c r="W1082" s="286"/>
      <c r="X1082" s="286"/>
      <c r="Y1082" s="286"/>
      <c r="Z1082" s="286"/>
      <c r="AA1082" s="286"/>
      <c r="AB1082" s="286"/>
      <c r="AC1082" s="282" t="s">
        <v>201</v>
      </c>
      <c r="AD1082" s="283" t="s">
        <v>202</v>
      </c>
      <c r="AE1082" s="284">
        <f t="shared" ref="AE1082:AE1086" si="22">MAX(AE1016,AE1022,AE1028,AE1034,AE1040,AE1046,AE1052,AE1058,AE1064,AE1070,AE1076)</f>
        <v>2.07E-2</v>
      </c>
      <c r="AF1082" s="284">
        <f t="shared" ref="AF1082:AF1086" si="23">AF1016+AF1022+AF1028+AF1034+AF1040+AF1046+AF1052+AF1058+AF1064+AF1070+AF1076</f>
        <v>2.8092999999999999</v>
      </c>
    </row>
    <row r="1083" spans="1:34" s="285" customFormat="1" ht="12.95" customHeight="1" x14ac:dyDescent="0.2">
      <c r="A1083" s="1057"/>
      <c r="B1083" s="1060"/>
      <c r="C1083" s="1060"/>
      <c r="D1083" s="1060"/>
      <c r="E1083" s="1060"/>
      <c r="F1083" s="1060"/>
      <c r="G1083" s="1060"/>
      <c r="H1083" s="1060"/>
      <c r="I1083" s="1060"/>
      <c r="J1083" s="1060"/>
      <c r="K1083" s="1060"/>
      <c r="L1083" s="1060"/>
      <c r="M1083" s="1060"/>
      <c r="N1083" s="1060"/>
      <c r="O1083" s="1060"/>
      <c r="P1083" s="1060"/>
      <c r="Q1083" s="1060"/>
      <c r="R1083" s="1060"/>
      <c r="S1083" s="1061"/>
      <c r="T1083" s="280">
        <f>ROUND((L1083*I1081+1.3*L1083*K1081+S1083*H1081),4)</f>
        <v>0</v>
      </c>
      <c r="U1083" s="280">
        <f>ROUND((M1083*0.9*I1081+1.3*M1083*0.9*K1081+S1083*H1081),4)</f>
        <v>0</v>
      </c>
      <c r="V1083" s="280">
        <f>ROUND((M1083*I1081+1.3*M1083*K1081+S1083*H1081),4)</f>
        <v>0</v>
      </c>
      <c r="W1083" s="280">
        <f>ROUND((L1083*J1081+1.3*L1083*N1081+S1083*G1081),4)</f>
        <v>0</v>
      </c>
      <c r="X1083" s="280">
        <f>ROUND((M1083*0.9*J1081+1.3*M1083*0.9*N1081+S1083*G1081),4)</f>
        <v>0</v>
      </c>
      <c r="Y1083" s="280">
        <f>ROUND((M1083*J1081+1.3*M1083*N1081+S1083*G1081),4)</f>
        <v>0</v>
      </c>
      <c r="Z1083" s="281">
        <f>ROUND((P1081*T1083*F1081*O1081/1000000),4)</f>
        <v>0</v>
      </c>
      <c r="AA1083" s="281">
        <f>ROUND((Q1081*U1083*F1081*O1081/1000000),4)</f>
        <v>0</v>
      </c>
      <c r="AB1083" s="281">
        <f>ROUND((R1081*V1083*F1081*O1081/1000000),4)</f>
        <v>0</v>
      </c>
      <c r="AC1083" s="282" t="s">
        <v>203</v>
      </c>
      <c r="AD1083" s="283" t="s">
        <v>204</v>
      </c>
      <c r="AE1083" s="284">
        <f t="shared" si="22"/>
        <v>1.4500000000000001E-2</v>
      </c>
      <c r="AF1083" s="284">
        <f t="shared" si="23"/>
        <v>2.0443999999999996</v>
      </c>
    </row>
    <row r="1084" spans="1:34" s="285" customFormat="1" ht="12.95" customHeight="1" x14ac:dyDescent="0.2">
      <c r="A1084" s="1057"/>
      <c r="B1084" s="1060"/>
      <c r="C1084" s="1060"/>
      <c r="D1084" s="1060"/>
      <c r="E1084" s="1060"/>
      <c r="F1084" s="1060"/>
      <c r="G1084" s="1060"/>
      <c r="H1084" s="1060"/>
      <c r="I1084" s="1060"/>
      <c r="J1084" s="1060"/>
      <c r="K1084" s="1060"/>
      <c r="L1084" s="1060"/>
      <c r="M1084" s="1060"/>
      <c r="N1084" s="1060"/>
      <c r="O1084" s="1060"/>
      <c r="P1084" s="1060"/>
      <c r="Q1084" s="1060"/>
      <c r="R1084" s="1060"/>
      <c r="S1084" s="1061"/>
      <c r="T1084" s="280">
        <f>ROUND((L1084*I1081+1.3*L1084*K1081+S1084*H1081),4)</f>
        <v>0</v>
      </c>
      <c r="U1084" s="280">
        <f>ROUND((M1084*0.9*I1081+1.3*M1084*0.9*K1081+S1084*H1081),4)</f>
        <v>0</v>
      </c>
      <c r="V1084" s="280">
        <f>ROUND((M1084*I1081+1.3*M1084*K1081+S1084*H1081),4)</f>
        <v>0</v>
      </c>
      <c r="W1084" s="280">
        <f>ROUND((L1084*J1081+1.3*L1084*N1081+S1084*G1081),4)</f>
        <v>0</v>
      </c>
      <c r="X1084" s="280">
        <f>ROUND((M1084*0.9*J1081+1.3*M1084*0.9*N1081+S1084*G1081),4)</f>
        <v>0</v>
      </c>
      <c r="Y1084" s="280">
        <f>ROUND((M1084*J1081+1.3*N1081+S1084*G1081),4)</f>
        <v>0</v>
      </c>
      <c r="Z1084" s="281">
        <f>ROUND((P1081*T1084*F1081*O1081/1000000),4)</f>
        <v>0</v>
      </c>
      <c r="AA1084" s="281">
        <f>ROUND((Q1081*U1084*F1081*O1081/1000000),4)</f>
        <v>0</v>
      </c>
      <c r="AB1084" s="281">
        <f>ROUND((R1081*V1084*F1081*O1081/1000000),4)</f>
        <v>0</v>
      </c>
      <c r="AC1084" s="282" t="s">
        <v>205</v>
      </c>
      <c r="AD1084" s="283" t="s">
        <v>206</v>
      </c>
      <c r="AE1084" s="284">
        <f t="shared" si="22"/>
        <v>3.32E-2</v>
      </c>
      <c r="AF1084" s="284">
        <f t="shared" si="23"/>
        <v>4.0270999999999999</v>
      </c>
      <c r="AG1084" s="288"/>
      <c r="AH1084" s="288"/>
    </row>
    <row r="1085" spans="1:34" s="285" customFormat="1" ht="12.95" customHeight="1" x14ac:dyDescent="0.2">
      <c r="A1085" s="1057"/>
      <c r="B1085" s="1060"/>
      <c r="C1085" s="1060"/>
      <c r="D1085" s="1060"/>
      <c r="E1085" s="1060"/>
      <c r="F1085" s="1060"/>
      <c r="G1085" s="1060"/>
      <c r="H1085" s="1060"/>
      <c r="I1085" s="1060"/>
      <c r="J1085" s="1060"/>
      <c r="K1085" s="1060"/>
      <c r="L1085" s="1060"/>
      <c r="M1085" s="1060"/>
      <c r="N1085" s="1060"/>
      <c r="O1085" s="1060"/>
      <c r="P1085" s="1060"/>
      <c r="Q1085" s="1060"/>
      <c r="R1085" s="1060"/>
      <c r="S1085" s="1061"/>
      <c r="T1085" s="280">
        <f>ROUND((L1085*I1081+1.3*L1085*K1081+S1085*H1081),4)</f>
        <v>0</v>
      </c>
      <c r="U1085" s="280">
        <f>ROUND((M1085*0.9*I1081+1.3*M1085*0.9*K1081+S1085*H1081),4)</f>
        <v>0</v>
      </c>
      <c r="V1085" s="280">
        <f>ROUND((M1085*I1081+1.3*M1085*K1081+S1085*H1081),4)</f>
        <v>0</v>
      </c>
      <c r="W1085" s="280">
        <f>ROUND((L1085*J1081+1.3*L1085*N1081+S1085*G1081),4)</f>
        <v>0</v>
      </c>
      <c r="X1085" s="280">
        <f>ROUND((M1085*0.9*J1081+1.3*M1085*0.9*N1081+S1085*G1081),4)</f>
        <v>0</v>
      </c>
      <c r="Y1085" s="280">
        <f>ROUND((M1085*J1081+1.3*M1085*N1081+S1085*G1081),4)</f>
        <v>0</v>
      </c>
      <c r="Z1085" s="281">
        <f>ROUND((P1081*T1085*F1081*O1081/1000000),4)</f>
        <v>0</v>
      </c>
      <c r="AA1085" s="281">
        <f>ROUND((Q1081*U1085*F1081*O1081/1000000),4)</f>
        <v>0</v>
      </c>
      <c r="AB1085" s="281">
        <f>ROUND((R1081*V1085*F1081*O1081/1000000),4)</f>
        <v>0</v>
      </c>
      <c r="AC1085" s="282" t="s">
        <v>250</v>
      </c>
      <c r="AD1085" s="283" t="s">
        <v>208</v>
      </c>
      <c r="AE1085" s="284">
        <f t="shared" si="22"/>
        <v>2.3800000000000002E-2</v>
      </c>
      <c r="AF1085" s="284">
        <f t="shared" si="23"/>
        <v>2.6990000000000007</v>
      </c>
      <c r="AG1085" s="288"/>
      <c r="AH1085" s="288"/>
    </row>
    <row r="1086" spans="1:34" s="285" customFormat="1" ht="12.95" customHeight="1" x14ac:dyDescent="0.2">
      <c r="A1086" s="1062"/>
      <c r="B1086" s="1063"/>
      <c r="C1086" s="1063"/>
      <c r="D1086" s="1063"/>
      <c r="E1086" s="1063"/>
      <c r="F1086" s="1063"/>
      <c r="G1086" s="1063"/>
      <c r="H1086" s="1063"/>
      <c r="I1086" s="1063"/>
      <c r="J1086" s="1063"/>
      <c r="K1086" s="1063"/>
      <c r="L1086" s="1063"/>
      <c r="M1086" s="1063"/>
      <c r="N1086" s="1063"/>
      <c r="O1086" s="1063"/>
      <c r="P1086" s="1063"/>
      <c r="Q1086" s="1063"/>
      <c r="R1086" s="1063"/>
      <c r="S1086" s="1064"/>
      <c r="T1086" s="280">
        <f>ROUND((L1086*I1081+1.3*L1086*K1081+S1086*H1081),4)</f>
        <v>0</v>
      </c>
      <c r="U1086" s="280">
        <f>ROUND((M1086*0.9*I1081+1.3*M1086*0.9*K1081+S1086*H1081),4)</f>
        <v>0</v>
      </c>
      <c r="V1086" s="280">
        <f>ROUND((M1086*I1081+1.3*M1086*K1081+S1086*H1081),4)</f>
        <v>0</v>
      </c>
      <c r="W1086" s="280">
        <f>ROUND((L1086*J1081+1.3*L1086*N1081+S1086*G1081),4)</f>
        <v>0</v>
      </c>
      <c r="X1086" s="280">
        <f>ROUND((M1086*0.9*J1081+1.3*M1086*0.9*N1081+S1086*G1081),4)</f>
        <v>0</v>
      </c>
      <c r="Y1086" s="280">
        <f>ROUND((M1086*J1081+1.3*M1086*N1081+S1086*G1081),4)</f>
        <v>0</v>
      </c>
      <c r="Z1086" s="281">
        <f>ROUND((P1081*T1086*F1081*O1081/1000000),4)</f>
        <v>0</v>
      </c>
      <c r="AA1086" s="281">
        <f>ROUND((Q1081*U1086*F1081*O1081/1000000),4)</f>
        <v>0</v>
      </c>
      <c r="AB1086" s="281">
        <f>ROUND((R1081*V1086*F1081*O1081/1000000),4)</f>
        <v>0</v>
      </c>
      <c r="AC1086" s="282" t="s">
        <v>170</v>
      </c>
      <c r="AD1086" s="283" t="s">
        <v>162</v>
      </c>
      <c r="AE1086" s="284">
        <f t="shared" si="22"/>
        <v>0.12039999999999999</v>
      </c>
      <c r="AF1086" s="284">
        <f t="shared" si="23"/>
        <v>12.391999999999999</v>
      </c>
      <c r="AG1086" s="290">
        <f>SUM(AE1081:AE1086)</f>
        <v>0.33980000000000005</v>
      </c>
      <c r="AH1086" s="290">
        <f>SUM(AF1081:AF1086)</f>
        <v>41.260100000000001</v>
      </c>
    </row>
    <row r="1087" spans="1:34" s="285" customFormat="1" ht="12.95" customHeight="1" x14ac:dyDescent="0.2">
      <c r="A1087" s="1068" t="s">
        <v>122</v>
      </c>
      <c r="B1087" s="1069"/>
      <c r="C1087" s="1069"/>
      <c r="D1087" s="1069"/>
      <c r="E1087" s="1069"/>
      <c r="F1087" s="1069"/>
      <c r="G1087" s="1069"/>
      <c r="H1087" s="1069"/>
      <c r="I1087" s="1069"/>
      <c r="J1087" s="1069"/>
      <c r="K1087" s="1069"/>
      <c r="L1087" s="1069"/>
      <c r="M1087" s="1069"/>
      <c r="N1087" s="1069"/>
      <c r="O1087" s="1069"/>
      <c r="P1087" s="1069"/>
      <c r="Q1087" s="1069"/>
      <c r="R1087" s="1069"/>
      <c r="S1087" s="1069"/>
      <c r="T1087" s="1069"/>
      <c r="U1087" s="1069"/>
      <c r="V1087" s="1069"/>
      <c r="W1087" s="1069"/>
      <c r="X1087" s="1069"/>
      <c r="Y1087" s="1069"/>
      <c r="Z1087" s="1069"/>
      <c r="AA1087" s="1069"/>
      <c r="AB1087" s="1069"/>
      <c r="AC1087" s="1069"/>
      <c r="AD1087" s="1069"/>
      <c r="AE1087" s="1069"/>
      <c r="AF1087" s="1070"/>
    </row>
    <row r="1088" spans="1:34" ht="12.95" customHeight="1" x14ac:dyDescent="0.25">
      <c r="A1088" s="45">
        <v>8030</v>
      </c>
      <c r="B1088" s="46" t="s">
        <v>218</v>
      </c>
      <c r="C1088" s="45">
        <v>4</v>
      </c>
      <c r="D1088" s="45" t="s">
        <v>199</v>
      </c>
      <c r="E1088" s="45">
        <v>1</v>
      </c>
      <c r="F1088" s="45">
        <v>1</v>
      </c>
      <c r="G1088" s="45">
        <v>6</v>
      </c>
      <c r="H1088" s="45">
        <v>60</v>
      </c>
      <c r="I1088" s="45">
        <f>(8-1-0.75*2)*60*F1088-K1088-8*0.12*60</f>
        <v>57.900000000000006</v>
      </c>
      <c r="J1088" s="45">
        <v>14</v>
      </c>
      <c r="K1088" s="45">
        <f>(8-1-0.75*2)*0.65*60*F1088</f>
        <v>214.5</v>
      </c>
      <c r="L1088" s="45">
        <v>2.4700000000000002</v>
      </c>
      <c r="M1088" s="45">
        <v>2.4700000000000002</v>
      </c>
      <c r="N1088" s="45">
        <v>10</v>
      </c>
      <c r="O1088" s="45">
        <f>E1088/F1088</f>
        <v>1</v>
      </c>
      <c r="P1088" s="45">
        <v>180</v>
      </c>
      <c r="Q1088" s="45">
        <v>30</v>
      </c>
      <c r="R1088" s="47">
        <v>0</v>
      </c>
      <c r="S1088" s="45">
        <v>0.48</v>
      </c>
      <c r="T1088" s="48">
        <f>ROUND((L1088*I1088+1.3*L1088*K1088+S1088*H1088),4)</f>
        <v>860.57249999999999</v>
      </c>
      <c r="U1088" s="48">
        <f>ROUND((M1088*I1088+1.3*M1088*K1088+S1088*H1088),4)</f>
        <v>860.57249999999999</v>
      </c>
      <c r="V1088" s="48">
        <f>ROUND((M1088*I1088+1.3*M1088*K1088+S1088*H1088),4)</f>
        <v>860.57249999999999</v>
      </c>
      <c r="W1088" s="48">
        <f>ROUND((L1088*J1088+1.3*L1088*N1088+S1088*G1088),4)</f>
        <v>69.569999999999993</v>
      </c>
      <c r="X1088" s="48">
        <f>ROUND((M1088*J1088+1.3*M1088*N1088+S1088*G1088),4)</f>
        <v>69.569999999999993</v>
      </c>
      <c r="Y1088" s="48">
        <f>ROUND((M1088*J1088+1.3*M1088*N1088+S1088*G1088),4)</f>
        <v>69.569999999999993</v>
      </c>
      <c r="Z1088" s="49">
        <f>ROUND((P1088*T1088*F1088*O1088/1000000),4)</f>
        <v>0.15490000000000001</v>
      </c>
      <c r="AA1088" s="49">
        <f>ROUND((Q1088*U1088*F1088*O1088/1000000),4)</f>
        <v>2.58E-2</v>
      </c>
      <c r="AB1088" s="49">
        <f>ROUND((R1088*V1088*F1088*O1088/1000000),4)</f>
        <v>0</v>
      </c>
      <c r="AC1088" s="50" t="s">
        <v>200</v>
      </c>
      <c r="AD1088" s="51" t="s">
        <v>153</v>
      </c>
      <c r="AE1088" s="44">
        <f>ROUND((((X1088*E1088)/1800)*0.8),4)</f>
        <v>3.09E-2</v>
      </c>
      <c r="AF1088" s="44">
        <f>ROUND(((Z1088+AA1088+AB1088)*0.8),4)</f>
        <v>0.14460000000000001</v>
      </c>
    </row>
    <row r="1089" spans="1:32" ht="12.95" customHeight="1" x14ac:dyDescent="0.25">
      <c r="A1089" s="63"/>
      <c r="B1089" s="53" t="s">
        <v>219</v>
      </c>
      <c r="C1089" s="52"/>
      <c r="D1089" s="52"/>
      <c r="E1089" s="52"/>
      <c r="F1089" s="63"/>
      <c r="G1089" s="52"/>
      <c r="H1089" s="52"/>
      <c r="I1089" s="52"/>
      <c r="J1089" s="52"/>
      <c r="K1089" s="52"/>
      <c r="L1089" s="52"/>
      <c r="M1089" s="52"/>
      <c r="N1089" s="52"/>
      <c r="O1089" s="52"/>
      <c r="P1089" s="52"/>
      <c r="Q1089" s="52"/>
      <c r="R1089" s="52"/>
      <c r="S1089" s="68"/>
      <c r="T1089" s="54"/>
      <c r="U1089" s="54"/>
      <c r="V1089" s="54"/>
      <c r="W1089" s="54"/>
      <c r="X1089" s="54"/>
      <c r="Y1089" s="54"/>
      <c r="Z1089" s="54"/>
      <c r="AA1089" s="54"/>
      <c r="AB1089" s="54"/>
      <c r="AC1089" s="50" t="s">
        <v>201</v>
      </c>
      <c r="AD1089" s="51" t="s">
        <v>202</v>
      </c>
      <c r="AE1089" s="44">
        <f>ROUND((((X1088*E1088)/1800)*0.13),4)</f>
        <v>5.0000000000000001E-3</v>
      </c>
      <c r="AF1089" s="44">
        <f>ROUND(((Z1088+AA1088+AB1088)*0.13),4)</f>
        <v>2.35E-2</v>
      </c>
    </row>
    <row r="1090" spans="1:32" ht="12.95" customHeight="1" x14ac:dyDescent="0.25">
      <c r="A1090" s="63"/>
      <c r="B1090" s="53"/>
      <c r="C1090" s="55"/>
      <c r="D1090" s="55"/>
      <c r="E1090" s="52"/>
      <c r="F1090" s="63"/>
      <c r="G1090" s="52"/>
      <c r="H1090" s="52"/>
      <c r="I1090" s="52"/>
      <c r="J1090" s="52"/>
      <c r="K1090" s="52"/>
      <c r="L1090" s="52">
        <v>0.19</v>
      </c>
      <c r="M1090" s="52">
        <v>0.23</v>
      </c>
      <c r="N1090" s="52"/>
      <c r="O1090" s="52"/>
      <c r="P1090" s="52"/>
      <c r="Q1090" s="52"/>
      <c r="R1090" s="52"/>
      <c r="S1090" s="69">
        <v>9.7000000000000003E-2</v>
      </c>
      <c r="T1090" s="48">
        <f>ROUND((L1090*I1088+1.3*L1090*K1088+S1090*H1088),4)</f>
        <v>69.802499999999995</v>
      </c>
      <c r="U1090" s="48">
        <f>ROUND((M1090*0.9*I1088+1.3*M1090*0.9*K1088+S1090*H1088),4)</f>
        <v>75.527299999999997</v>
      </c>
      <c r="V1090" s="48">
        <f>ROUND((M1090*I1088+1.3*M1090*K1088+S1090*H1088),4)</f>
        <v>83.272499999999994</v>
      </c>
      <c r="W1090" s="48">
        <f>ROUND((L1090*J1088+1.3*L1090*N1088+S1090*G1088),4)</f>
        <v>5.7119999999999997</v>
      </c>
      <c r="X1090" s="48">
        <f>ROUND((M1090*0.9*J1088+1.3*M1090*0.9*N1088+S1090*G1088),4)</f>
        <v>6.1710000000000003</v>
      </c>
      <c r="Y1090" s="48">
        <f>ROUND((M1090*J1088+1.3*M1090*N1088+S1090*G1088),4)</f>
        <v>6.7919999999999998</v>
      </c>
      <c r="Z1090" s="49">
        <f>ROUND((P1088*T1090*F1088*O1088/1000000),4)</f>
        <v>1.26E-2</v>
      </c>
      <c r="AA1090" s="49">
        <f>ROUND((Q1088*U1090*F1088*O1088/1000000),4)</f>
        <v>2.3E-3</v>
      </c>
      <c r="AB1090" s="49">
        <f>ROUND((R1088*V1090*F1088*O1088/1000000),4)</f>
        <v>0</v>
      </c>
      <c r="AC1090" s="50" t="s">
        <v>203</v>
      </c>
      <c r="AD1090" s="51" t="s">
        <v>204</v>
      </c>
      <c r="AE1090" s="44">
        <f>ROUND((((X1090*E1088)/1800)),4)</f>
        <v>3.3999999999999998E-3</v>
      </c>
      <c r="AF1090" s="44">
        <f>ROUND(((Z1090+AA1090+AB1090)),5)</f>
        <v>1.49E-2</v>
      </c>
    </row>
    <row r="1091" spans="1:32" ht="12.95" customHeight="1" x14ac:dyDescent="0.25">
      <c r="A1091" s="63"/>
      <c r="B1091" s="98"/>
      <c r="C1091" s="52"/>
      <c r="D1091" s="52"/>
      <c r="E1091" s="52"/>
      <c r="F1091" s="63"/>
      <c r="G1091" s="52"/>
      <c r="H1091" s="52"/>
      <c r="I1091" s="52"/>
      <c r="J1091" s="52"/>
      <c r="K1091" s="52"/>
      <c r="L1091" s="52">
        <v>0.43</v>
      </c>
      <c r="M1091" s="52">
        <v>0.51</v>
      </c>
      <c r="N1091" s="52"/>
      <c r="O1091" s="52"/>
      <c r="P1091" s="52"/>
      <c r="Q1091" s="52"/>
      <c r="R1091" s="52"/>
      <c r="S1091" s="69">
        <v>0.3</v>
      </c>
      <c r="T1091" s="48">
        <f>ROUND((L1091*I1088+1.3*L1091*K1088+S1091*H1088),4)</f>
        <v>162.80250000000001</v>
      </c>
      <c r="U1091" s="48">
        <f>ROUND((M1091*0.9*I1088+1.3*M1091*0.9*K1088+S1091*H1088),4)</f>
        <v>172.56829999999999</v>
      </c>
      <c r="V1091" s="48">
        <f>ROUND((M1091*I1088+1.3*M1091*K1088+S1091*H1088),4)</f>
        <v>189.74250000000001</v>
      </c>
      <c r="W1091" s="48">
        <f>ROUND((L1091*J1088+1.3*L1091*N1088+S1091*G1088),4)</f>
        <v>13.41</v>
      </c>
      <c r="X1091" s="48">
        <f>ROUND((M1091*0.9*J1088+1.3*M1091*0.9*N1088+S1091*G1088),4)</f>
        <v>14.193</v>
      </c>
      <c r="Y1091" s="48">
        <f>ROUND((M1091*J1088+1.3*N1088+S1091*G1088),4)</f>
        <v>21.94</v>
      </c>
      <c r="Z1091" s="49">
        <f>ROUND((P1088*T1091*F1088*O1088/1000000),4)</f>
        <v>2.93E-2</v>
      </c>
      <c r="AA1091" s="49">
        <f>ROUND((Q1088*U1091*F1088*O1088/1000000),4)</f>
        <v>5.1999999999999998E-3</v>
      </c>
      <c r="AB1091" s="49">
        <f>ROUND((R1088*V1091*F1088*O1088/1000000),4)</f>
        <v>0</v>
      </c>
      <c r="AC1091" s="50" t="s">
        <v>205</v>
      </c>
      <c r="AD1091" s="51" t="s">
        <v>206</v>
      </c>
      <c r="AE1091" s="44">
        <f>ROUND((((X1091*E1088)/1800)),4)</f>
        <v>7.9000000000000008E-3</v>
      </c>
      <c r="AF1091" s="44">
        <f>ROUND(((Z1091+AA1091+AB1091)),4)</f>
        <v>3.4500000000000003E-2</v>
      </c>
    </row>
    <row r="1092" spans="1:32" ht="12.95" customHeight="1" x14ac:dyDescent="0.25">
      <c r="A1092" s="63"/>
      <c r="B1092" s="53"/>
      <c r="C1092" s="52"/>
      <c r="D1092" s="52"/>
      <c r="E1092" s="52"/>
      <c r="F1092" s="63"/>
      <c r="G1092" s="52"/>
      <c r="H1092" s="52"/>
      <c r="I1092" s="52"/>
      <c r="J1092" s="52"/>
      <c r="K1092" s="52"/>
      <c r="L1092" s="52">
        <v>0.27</v>
      </c>
      <c r="M1092" s="52">
        <v>0.41</v>
      </c>
      <c r="N1092" s="52"/>
      <c r="O1092" s="52"/>
      <c r="P1092" s="52"/>
      <c r="Q1092" s="52"/>
      <c r="R1092" s="52"/>
      <c r="S1092" s="69">
        <v>0.06</v>
      </c>
      <c r="T1092" s="48">
        <f>ROUND((L1092*I1088+1.3*L1092*K1088+S1092*H1088),4)</f>
        <v>94.522499999999994</v>
      </c>
      <c r="U1092" s="48">
        <f>ROUND((M1092*0.9*I1088+1.3*M1092*0.9*K1088+S1092*H1088),4)</f>
        <v>127.8608</v>
      </c>
      <c r="V1092" s="48">
        <f>ROUND((M1092*I1088+1.3*M1092*K1088+S1092*H1088),4)</f>
        <v>141.66749999999999</v>
      </c>
      <c r="W1092" s="48">
        <f>ROUND((L1092*J1088+1.3*L1092*N1088+S1092*G1088),4)</f>
        <v>7.65</v>
      </c>
      <c r="X1092" s="48">
        <f>ROUND((M1092*0.9*J1088+1.3*M1092*0.9*N1088+S1092*G1088),4)</f>
        <v>10.323</v>
      </c>
      <c r="Y1092" s="48">
        <f>ROUND((M1092*J1088+1.3*M1092*N1088+S1092*G1088),4)</f>
        <v>11.43</v>
      </c>
      <c r="Z1092" s="49">
        <f>ROUND((P1088*T1092*F1088*O1088/1000000),4)</f>
        <v>1.7000000000000001E-2</v>
      </c>
      <c r="AA1092" s="49">
        <f>ROUND((Q1088*U1092*F1088*O1088/1000000),4)</f>
        <v>3.8E-3</v>
      </c>
      <c r="AB1092" s="49">
        <f>ROUND((R1088*V1092*F1088*O1088/1000000),4)</f>
        <v>0</v>
      </c>
      <c r="AC1092" s="50" t="s">
        <v>250</v>
      </c>
      <c r="AD1092" s="51" t="s">
        <v>208</v>
      </c>
      <c r="AE1092" s="44">
        <f>ROUND((((X1092*E1088)/1800)),4)</f>
        <v>5.7000000000000002E-3</v>
      </c>
      <c r="AF1092" s="44">
        <f>ROUND(((Z1092+AA1092+AB1092)),4)</f>
        <v>2.0799999999999999E-2</v>
      </c>
    </row>
    <row r="1093" spans="1:32" ht="12.95" customHeight="1" x14ac:dyDescent="0.25">
      <c r="A1093" s="63"/>
      <c r="B1093" s="53"/>
      <c r="C1093" s="56"/>
      <c r="D1093" s="56"/>
      <c r="E1093" s="56"/>
      <c r="F1093" s="66"/>
      <c r="G1093" s="56"/>
      <c r="H1093" s="56"/>
      <c r="I1093" s="56"/>
      <c r="J1093" s="56"/>
      <c r="K1093" s="56"/>
      <c r="L1093" s="56">
        <v>1.29</v>
      </c>
      <c r="M1093" s="56">
        <v>1.57</v>
      </c>
      <c r="N1093" s="56"/>
      <c r="O1093" s="56"/>
      <c r="P1093" s="56"/>
      <c r="Q1093" s="56"/>
      <c r="R1093" s="56"/>
      <c r="S1093" s="69">
        <v>2.4</v>
      </c>
      <c r="T1093" s="70">
        <f>ROUND((L1093*I1088+1.3*L1093*K1088+S1093*H1088),4)</f>
        <v>578.40750000000003</v>
      </c>
      <c r="U1093" s="70">
        <f>ROUND((M1093*0.9*I1088+1.3*M1093*0.9*K1088+S1093*H1088),4)</f>
        <v>619.82780000000002</v>
      </c>
      <c r="V1093" s="70">
        <f>ROUND((M1093*I1088+1.3*M1093*K1088+S1093*H1088),4)</f>
        <v>672.69749999999999</v>
      </c>
      <c r="W1093" s="70">
        <f>ROUND((L1093*J1088+1.3*L1093*N1088+S1093*G1088),4)</f>
        <v>49.23</v>
      </c>
      <c r="X1093" s="70">
        <f>ROUND((M1093*0.9*J1088+1.3*M1093*0.9*N1088+S1093*G1088),4)</f>
        <v>52.551000000000002</v>
      </c>
      <c r="Y1093" s="70">
        <f>ROUND((M1093*J1088+1.3*M1093*N1088+S1093*G1088),4)</f>
        <v>56.79</v>
      </c>
      <c r="Z1093" s="71">
        <f>ROUND((P1088*T1093*F1088*O1088/1000000),4)</f>
        <v>0.1041</v>
      </c>
      <c r="AA1093" s="71">
        <f>ROUND((Q1088*U1093*F1088*O1088/1000000),4)</f>
        <v>1.8599999999999998E-2</v>
      </c>
      <c r="AB1093" s="71">
        <f>ROUND((R1088*V1093*F1088*O1088/1000000),4)</f>
        <v>0</v>
      </c>
      <c r="AC1093" s="50" t="s">
        <v>170</v>
      </c>
      <c r="AD1093" s="51" t="s">
        <v>162</v>
      </c>
      <c r="AE1093" s="44">
        <f>ROUND((((X1093*E1088)/1800)),4)</f>
        <v>2.92E-2</v>
      </c>
      <c r="AF1093" s="44">
        <f>ROUND(((Z1093+AA1093+AB1093)),4)</f>
        <v>0.1227</v>
      </c>
    </row>
    <row r="1094" spans="1:32" ht="12.95" customHeight="1" x14ac:dyDescent="0.25">
      <c r="A1094" s="63"/>
      <c r="B1094" s="46" t="s">
        <v>211</v>
      </c>
      <c r="C1094" s="46">
        <v>5</v>
      </c>
      <c r="D1094" s="45" t="s">
        <v>209</v>
      </c>
      <c r="E1094" s="45">
        <v>1</v>
      </c>
      <c r="F1094" s="45">
        <v>2</v>
      </c>
      <c r="G1094" s="45">
        <v>6</v>
      </c>
      <c r="H1094" s="45">
        <v>60</v>
      </c>
      <c r="I1094" s="45">
        <f>(8-1-0.75*2)*60*F1094-K1094-8*0.12*60</f>
        <v>173.4</v>
      </c>
      <c r="J1094" s="45">
        <v>14</v>
      </c>
      <c r="K1094" s="45">
        <f>(8-1-0.75*2)*0.65*60*F1094</f>
        <v>429</v>
      </c>
      <c r="L1094" s="48">
        <v>4.01</v>
      </c>
      <c r="M1094" s="48">
        <v>4.01</v>
      </c>
      <c r="N1094" s="45">
        <v>10</v>
      </c>
      <c r="O1094" s="45">
        <f>E1094/F1094</f>
        <v>0.5</v>
      </c>
      <c r="P1094" s="45">
        <v>180</v>
      </c>
      <c r="Q1094" s="45">
        <v>90</v>
      </c>
      <c r="R1094" s="47">
        <v>90</v>
      </c>
      <c r="S1094" s="47">
        <v>0.78</v>
      </c>
      <c r="T1094" s="48">
        <f>ROUND((L1094*I1094+1.3*L1094*K1094+S1094*H1094),4)</f>
        <v>2978.511</v>
      </c>
      <c r="U1094" s="48">
        <f>ROUND((M1094*I1094+1.3*M1094*K1094+S1094*H1094),4)</f>
        <v>2978.511</v>
      </c>
      <c r="V1094" s="48">
        <f>ROUND((M1094*I1094+1.3*M1094*K1094+S1094*H1094),4)</f>
        <v>2978.511</v>
      </c>
      <c r="W1094" s="48">
        <f>ROUND((L1094*J1094+1.3*L1094*N1094+S1094*G1094),4)</f>
        <v>112.95</v>
      </c>
      <c r="X1094" s="48">
        <f>ROUND((M1094*J1094+1.3*M1094*N1094+S1094*G1094),4)</f>
        <v>112.95</v>
      </c>
      <c r="Y1094" s="48">
        <f>ROUND((M1094*J1094+1.3*M1094*N1094+S1094*G1094),4)</f>
        <v>112.95</v>
      </c>
      <c r="Z1094" s="49">
        <f>ROUND((P1094*T1094*F1094*O1094/1000000),4)</f>
        <v>0.53610000000000002</v>
      </c>
      <c r="AA1094" s="49">
        <f>ROUND((Q1094*U1094*F1094*O1094/1000000),4)</f>
        <v>0.2681</v>
      </c>
      <c r="AB1094" s="49">
        <f>ROUND((R1094*V1094*F1094*O1094/1000000),4)</f>
        <v>0.2681</v>
      </c>
      <c r="AC1094" s="50" t="s">
        <v>200</v>
      </c>
      <c r="AD1094" s="51" t="s">
        <v>153</v>
      </c>
      <c r="AE1094" s="44">
        <f>ROUND((((X1094*E1094)/1800)*0.8),4)</f>
        <v>5.0200000000000002E-2</v>
      </c>
      <c r="AF1094" s="44">
        <f>ROUND(((Z1094+AA1094+AB1094)*0.8),4)</f>
        <v>0.85780000000000001</v>
      </c>
    </row>
    <row r="1095" spans="1:32" ht="12.95" customHeight="1" x14ac:dyDescent="0.25">
      <c r="A1095" s="63"/>
      <c r="B1095" s="73" t="s">
        <v>212</v>
      </c>
      <c r="C1095" s="53"/>
      <c r="D1095" s="52"/>
      <c r="E1095" s="52"/>
      <c r="F1095" s="52"/>
      <c r="G1095" s="52"/>
      <c r="H1095" s="52"/>
      <c r="I1095" s="52"/>
      <c r="J1095" s="52"/>
      <c r="K1095" s="52"/>
      <c r="L1095" s="56"/>
      <c r="M1095" s="56"/>
      <c r="N1095" s="52"/>
      <c r="O1095" s="52"/>
      <c r="P1095" s="63"/>
      <c r="Q1095" s="63"/>
      <c r="R1095" s="63"/>
      <c r="S1095" s="57"/>
      <c r="T1095" s="54"/>
      <c r="U1095" s="54"/>
      <c r="V1095" s="54"/>
      <c r="W1095" s="54"/>
      <c r="X1095" s="54"/>
      <c r="Y1095" s="54"/>
      <c r="Z1095" s="54"/>
      <c r="AA1095" s="54"/>
      <c r="AB1095" s="54"/>
      <c r="AC1095" s="50" t="s">
        <v>201</v>
      </c>
      <c r="AD1095" s="51" t="s">
        <v>202</v>
      </c>
      <c r="AE1095" s="44">
        <f>ROUND((((X1094*E1094)/1800)*0.13),4)</f>
        <v>8.2000000000000007E-3</v>
      </c>
      <c r="AF1095" s="44">
        <f>ROUND(((Z1094+AA1094+AB1094)*0.13),4)</f>
        <v>0.1394</v>
      </c>
    </row>
    <row r="1096" spans="1:32" ht="12.95" customHeight="1" x14ac:dyDescent="0.25">
      <c r="A1096" s="63"/>
      <c r="B1096" s="64"/>
      <c r="C1096" s="58"/>
      <c r="D1096" s="55"/>
      <c r="E1096" s="52"/>
      <c r="F1096" s="52"/>
      <c r="G1096" s="52"/>
      <c r="H1096" s="52"/>
      <c r="I1096" s="52"/>
      <c r="J1096" s="52"/>
      <c r="K1096" s="52"/>
      <c r="L1096" s="59">
        <v>0.31</v>
      </c>
      <c r="M1096" s="59">
        <v>0.38</v>
      </c>
      <c r="N1096" s="52"/>
      <c r="O1096" s="52"/>
      <c r="P1096" s="63"/>
      <c r="Q1096" s="63"/>
      <c r="R1096" s="63"/>
      <c r="S1096" s="60">
        <v>0.16</v>
      </c>
      <c r="T1096" s="48">
        <f>ROUND((L1096*I1094+1.3*L1096*K1094+S1096*H1094),4)</f>
        <v>236.24100000000001</v>
      </c>
      <c r="U1096" s="48">
        <f>ROUND((M1096*0.9*I1094+1.3*M1096*0.9*K1094+S1096*H1094),4)</f>
        <v>259.63619999999997</v>
      </c>
      <c r="V1096" s="48">
        <f>ROUND((M1096*I1094+1.3*M1096*K1094+S1096*H1094),4)</f>
        <v>287.41800000000001</v>
      </c>
      <c r="W1096" s="48">
        <f>ROUND((L1096*J1094+1.3*L1096*N1094+S1096*G1094),4)</f>
        <v>9.33</v>
      </c>
      <c r="X1096" s="48">
        <f>ROUND((M1096*0.9*J1094+1.3*M1096*0.9*N1094+S1096*G1094),4)</f>
        <v>10.194000000000001</v>
      </c>
      <c r="Y1096" s="48">
        <f>ROUND((M1096*J1094+1.3*M1096*N1094+S1096*G1094),4)</f>
        <v>11.22</v>
      </c>
      <c r="Z1096" s="49">
        <f>ROUND((P1094*T1096*F1094*O1094/1000000),4)</f>
        <v>4.2500000000000003E-2</v>
      </c>
      <c r="AA1096" s="49">
        <f>ROUND((Q1094*U1096*F1094*O1094/1000000),4)</f>
        <v>2.3400000000000001E-2</v>
      </c>
      <c r="AB1096" s="49">
        <f>ROUND((R1094*V1096*F1094*O1094/1000000),4)</f>
        <v>2.5899999999999999E-2</v>
      </c>
      <c r="AC1096" s="50" t="s">
        <v>203</v>
      </c>
      <c r="AD1096" s="51" t="s">
        <v>204</v>
      </c>
      <c r="AE1096" s="44">
        <f>ROUND((((X1096*E1094)/1800)),4)</f>
        <v>5.7000000000000002E-3</v>
      </c>
      <c r="AF1096" s="44">
        <f>ROUND(((Z1096+AA1096+AB1096)),5)</f>
        <v>9.1800000000000007E-2</v>
      </c>
    </row>
    <row r="1097" spans="1:32" ht="12.95" customHeight="1" x14ac:dyDescent="0.25">
      <c r="A1097" s="63"/>
      <c r="B1097" s="64"/>
      <c r="C1097" s="53"/>
      <c r="D1097" s="52"/>
      <c r="E1097" s="52"/>
      <c r="F1097" s="52"/>
      <c r="G1097" s="52"/>
      <c r="H1097" s="52"/>
      <c r="I1097" s="52"/>
      <c r="J1097" s="52"/>
      <c r="K1097" s="52"/>
      <c r="L1097" s="59">
        <v>0.71</v>
      </c>
      <c r="M1097" s="59">
        <v>0.85</v>
      </c>
      <c r="N1097" s="52"/>
      <c r="O1097" s="52"/>
      <c r="P1097" s="63"/>
      <c r="Q1097" s="63"/>
      <c r="R1097" s="63"/>
      <c r="S1097" s="61">
        <v>0.49</v>
      </c>
      <c r="T1097" s="48">
        <f>ROUND((L1097*I1094+1.3*L1097*K1094+S1097*H1094),4)</f>
        <v>548.48099999999999</v>
      </c>
      <c r="U1097" s="48">
        <f>ROUND((M1097*0.9*I1094+1.3*M1097*0.9*K1094+S1097*H1094),4)</f>
        <v>588.69150000000002</v>
      </c>
      <c r="V1097" s="48">
        <f>ROUND((M1097*I1094+1.3*M1097*K1094+S1097*H1094),4)</f>
        <v>650.83500000000004</v>
      </c>
      <c r="W1097" s="48">
        <f>ROUND((L1097*J1094+1.3*L1097*N1094+S1097*G1094),4)</f>
        <v>22.11</v>
      </c>
      <c r="X1097" s="48">
        <f>ROUND((M1097*0.9*J1094+1.3*M1097*0.9*N1094+S1097*G1094),4)</f>
        <v>23.594999999999999</v>
      </c>
      <c r="Y1097" s="48">
        <f>ROUND((M1097*J1094+1.3*N1094+S1097*G1094),4)</f>
        <v>27.84</v>
      </c>
      <c r="Z1097" s="49">
        <f>ROUND((P1094*T1097*F1094*O1094/1000000),4)</f>
        <v>9.8699999999999996E-2</v>
      </c>
      <c r="AA1097" s="49">
        <f>ROUND((Q1094*U1097*F1094*O1094/1000000),4)</f>
        <v>5.2999999999999999E-2</v>
      </c>
      <c r="AB1097" s="49">
        <f>ROUND((R1094*V1097*F1094*O1094/1000000),4)</f>
        <v>5.8599999999999999E-2</v>
      </c>
      <c r="AC1097" s="50" t="s">
        <v>205</v>
      </c>
      <c r="AD1097" s="51" t="s">
        <v>206</v>
      </c>
      <c r="AE1097" s="44">
        <f>ROUND((((X1097*E1094)/1800)),4)</f>
        <v>1.3100000000000001E-2</v>
      </c>
      <c r="AF1097" s="44">
        <f>ROUND(((Z1097+AA1097+AB1097)),4)</f>
        <v>0.21029999999999999</v>
      </c>
    </row>
    <row r="1098" spans="1:32" ht="12.95" customHeight="1" x14ac:dyDescent="0.25">
      <c r="A1098" s="63"/>
      <c r="B1098" s="64"/>
      <c r="C1098" s="53"/>
      <c r="D1098" s="52"/>
      <c r="E1098" s="52"/>
      <c r="F1098" s="52"/>
      <c r="G1098" s="52"/>
      <c r="H1098" s="52"/>
      <c r="I1098" s="52"/>
      <c r="J1098" s="52"/>
      <c r="K1098" s="52"/>
      <c r="L1098" s="59">
        <v>0.45</v>
      </c>
      <c r="M1098" s="59">
        <v>0.67</v>
      </c>
      <c r="N1098" s="52"/>
      <c r="O1098" s="52"/>
      <c r="P1098" s="63"/>
      <c r="Q1098" s="63"/>
      <c r="R1098" s="63"/>
      <c r="S1098" s="61">
        <v>0.1</v>
      </c>
      <c r="T1098" s="48">
        <f>ROUND((L1098*I1094+1.3*L1098*K1094+S1098*H1094),4)</f>
        <v>334.995</v>
      </c>
      <c r="U1098" s="48">
        <f>ROUND((M1098*0.9*I1094+1.3*M1098*0.9*K1094+S1098*H1094),4)</f>
        <v>446.85329999999999</v>
      </c>
      <c r="V1098" s="48">
        <f>ROUND((M1098*I1094+1.3*M1098*K1094+S1098*H1094),4)</f>
        <v>495.83699999999999</v>
      </c>
      <c r="W1098" s="48">
        <f>ROUND((L1098*J1094+1.3*L1098*N1094+S1098*G1094),4)</f>
        <v>12.75</v>
      </c>
      <c r="X1098" s="48">
        <f>ROUND((M1098*0.9*J1094+1.3*M1098*0.9*N1094+S1098*G1094),4)</f>
        <v>16.881</v>
      </c>
      <c r="Y1098" s="48">
        <f>ROUND((M1098*J1094+1.3*M1098*N1094+S1098*G1094),4)</f>
        <v>18.690000000000001</v>
      </c>
      <c r="Z1098" s="49">
        <f>ROUND((P1094*T1098*F1094*O1094/1000000),4)</f>
        <v>6.0299999999999999E-2</v>
      </c>
      <c r="AA1098" s="49">
        <f>ROUND((Q1094*U1098*F1094*O1094/1000000),4)</f>
        <v>4.02E-2</v>
      </c>
      <c r="AB1098" s="49">
        <f>ROUND((R1094*V1098*F1094*O1094/1000000),4)</f>
        <v>4.4600000000000001E-2</v>
      </c>
      <c r="AC1098" s="50" t="s">
        <v>250</v>
      </c>
      <c r="AD1098" s="51" t="s">
        <v>208</v>
      </c>
      <c r="AE1098" s="44">
        <f>ROUND((((X1098*E1094)/1800)),4)</f>
        <v>9.4000000000000004E-3</v>
      </c>
      <c r="AF1098" s="44">
        <f>ROUND(((Z1098+AA1098+AB1098)),4)</f>
        <v>0.14510000000000001</v>
      </c>
    </row>
    <row r="1099" spans="1:32" ht="12.95" customHeight="1" x14ac:dyDescent="0.25">
      <c r="A1099" s="63"/>
      <c r="B1099" s="72"/>
      <c r="C1099" s="62"/>
      <c r="D1099" s="56"/>
      <c r="E1099" s="56"/>
      <c r="F1099" s="56"/>
      <c r="G1099" s="56"/>
      <c r="H1099" s="56"/>
      <c r="I1099" s="56"/>
      <c r="J1099" s="56"/>
      <c r="K1099" s="56"/>
      <c r="L1099" s="59">
        <v>2.09</v>
      </c>
      <c r="M1099" s="59">
        <v>2.5499999999999998</v>
      </c>
      <c r="N1099" s="56"/>
      <c r="O1099" s="56"/>
      <c r="P1099" s="66"/>
      <c r="Q1099" s="66"/>
      <c r="R1099" s="66"/>
      <c r="S1099" s="61">
        <v>3.91</v>
      </c>
      <c r="T1099" s="48">
        <f>ROUND((L1099*I1094+1.3*L1099*K1094+S1099*H1094),4)</f>
        <v>1762.5989999999999</v>
      </c>
      <c r="U1099" s="48">
        <f>ROUND((M1099*0.9*I1094+1.3*M1099*0.9*K1094+S1099*H1094),4)</f>
        <v>1912.4745</v>
      </c>
      <c r="V1099" s="48">
        <f>ROUND((M1099*I1094+1.3*M1099*K1094+S1099*H1094),4)</f>
        <v>2098.9050000000002</v>
      </c>
      <c r="W1099" s="48">
        <f>ROUND((L1099*J1094+1.3*L1099*N1094+S1099*G1094),4)</f>
        <v>79.89</v>
      </c>
      <c r="X1099" s="48">
        <f>ROUND((M1099*0.9*J1094+1.3*M1099*0.9*N1094+S1099*G1094),4)</f>
        <v>85.424999999999997</v>
      </c>
      <c r="Y1099" s="48">
        <f>ROUND((M1099*J1094+1.3*M1099*N1094+S1099*G1094),4)</f>
        <v>92.31</v>
      </c>
      <c r="Z1099" s="49">
        <f>ROUND((P1094*T1099*F1094*O1094/1000000),4)</f>
        <v>0.31730000000000003</v>
      </c>
      <c r="AA1099" s="49">
        <f>ROUND((Q1094*U1099*F1094*O1094/1000000),4)</f>
        <v>0.1721</v>
      </c>
      <c r="AB1099" s="49">
        <f>ROUND((R1094*V1099*F1094*O1094/1000000),4)</f>
        <v>0.18890000000000001</v>
      </c>
      <c r="AC1099" s="50" t="s">
        <v>170</v>
      </c>
      <c r="AD1099" s="51" t="s">
        <v>162</v>
      </c>
      <c r="AE1099" s="44">
        <f>ROUND((((X1099*E1094)/1800)),4)</f>
        <v>4.7500000000000001E-2</v>
      </c>
      <c r="AF1099" s="44">
        <f>ROUND(((Z1099+AA1099+AB1099)),4)</f>
        <v>0.67830000000000001</v>
      </c>
    </row>
    <row r="1100" spans="1:32" ht="12.95" customHeight="1" x14ac:dyDescent="0.25">
      <c r="A1100" s="52"/>
      <c r="B1100" s="46" t="s">
        <v>211</v>
      </c>
      <c r="C1100" s="46">
        <v>6</v>
      </c>
      <c r="D1100" s="45" t="s">
        <v>210</v>
      </c>
      <c r="E1100" s="45">
        <v>1</v>
      </c>
      <c r="F1100" s="45">
        <v>2</v>
      </c>
      <c r="G1100" s="45">
        <v>6</v>
      </c>
      <c r="H1100" s="45">
        <v>60</v>
      </c>
      <c r="I1100" s="45">
        <f>(8-1-0.75*2)*60*F1100-K1100-8*0.12*60</f>
        <v>173.4</v>
      </c>
      <c r="J1100" s="45">
        <v>14</v>
      </c>
      <c r="K1100" s="45">
        <f>(8-1-0.75*2)*0.65*60*F1100</f>
        <v>429</v>
      </c>
      <c r="L1100" s="48">
        <v>6.47</v>
      </c>
      <c r="M1100" s="48">
        <v>6.47</v>
      </c>
      <c r="N1100" s="45">
        <v>10</v>
      </c>
      <c r="O1100" s="45">
        <f>E1100/F1100</f>
        <v>0.5</v>
      </c>
      <c r="P1100" s="45">
        <v>180</v>
      </c>
      <c r="Q1100" s="45">
        <v>90</v>
      </c>
      <c r="R1100" s="47">
        <v>90</v>
      </c>
      <c r="S1100" s="47">
        <v>1.27</v>
      </c>
      <c r="T1100" s="48">
        <f>ROUND((L1100*I1100+1.3*L1100*K1100+S1100*H1100),4)</f>
        <v>4806.4170000000004</v>
      </c>
      <c r="U1100" s="48">
        <f>ROUND((M1100*I1100+1.3*M1100*K1100+S1100*H1100),4)</f>
        <v>4806.4170000000004</v>
      </c>
      <c r="V1100" s="48">
        <f>ROUND((M1100*I1100+1.3*M1100*K1100+S1100*H1100),4)</f>
        <v>4806.4170000000004</v>
      </c>
      <c r="W1100" s="48">
        <f>ROUND((L1100*J1100+1.3*L1100*N1100+S1100*G1100),4)</f>
        <v>182.31</v>
      </c>
      <c r="X1100" s="48">
        <f>ROUND((M1100*J1100+1.3*M1100*N1100+S1100*G1100),4)</f>
        <v>182.31</v>
      </c>
      <c r="Y1100" s="48">
        <f>ROUND((M1100*J1100+1.3*M1100*N1100+S1100*G1100),4)</f>
        <v>182.31</v>
      </c>
      <c r="Z1100" s="49">
        <f>ROUND((P1100*T1100*F1100*O1100/1000000),4)</f>
        <v>0.86519999999999997</v>
      </c>
      <c r="AA1100" s="49">
        <f>ROUND((Q1100*U1100*F1100*O1100/1000000),4)</f>
        <v>0.43259999999999998</v>
      </c>
      <c r="AB1100" s="49">
        <f>ROUND((R1100*V1100*F1100*O1100/1000000),4)</f>
        <v>0.43259999999999998</v>
      </c>
      <c r="AC1100" s="50" t="s">
        <v>200</v>
      </c>
      <c r="AD1100" s="51" t="s">
        <v>153</v>
      </c>
      <c r="AE1100" s="44">
        <f>ROUND((((X1100*E1100)/1800)*0.8),4)</f>
        <v>8.1000000000000003E-2</v>
      </c>
      <c r="AF1100" s="44">
        <f>ROUND(((Z1100+AA1100+AB1100)*0.8),4)</f>
        <v>1.3843000000000001</v>
      </c>
    </row>
    <row r="1101" spans="1:32" ht="12.95" customHeight="1" x14ac:dyDescent="0.25">
      <c r="A1101" s="52"/>
      <c r="B1101" s="53" t="s">
        <v>213</v>
      </c>
      <c r="C1101" s="52"/>
      <c r="D1101" s="52"/>
      <c r="E1101" s="63"/>
      <c r="F1101" s="52"/>
      <c r="G1101" s="52"/>
      <c r="H1101" s="52"/>
      <c r="I1101" s="52"/>
      <c r="J1101" s="52"/>
      <c r="K1101" s="52"/>
      <c r="L1101" s="56"/>
      <c r="M1101" s="56"/>
      <c r="N1101" s="52"/>
      <c r="O1101" s="52"/>
      <c r="P1101" s="63"/>
      <c r="Q1101" s="63"/>
      <c r="R1101" s="63"/>
      <c r="S1101" s="57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0" t="s">
        <v>201</v>
      </c>
      <c r="AD1101" s="51" t="s">
        <v>202</v>
      </c>
      <c r="AE1101" s="44">
        <f>ROUND((((X1100*E1100)/1800)*0.13),4)</f>
        <v>1.32E-2</v>
      </c>
      <c r="AF1101" s="44">
        <f>ROUND(((Z1100+AA1100+AB1100)*0.13),4)</f>
        <v>0.22500000000000001</v>
      </c>
    </row>
    <row r="1102" spans="1:32" ht="12.95" customHeight="1" x14ac:dyDescent="0.25">
      <c r="A1102" s="52"/>
      <c r="B1102" s="98"/>
      <c r="C1102" s="55"/>
      <c r="D1102" s="55"/>
      <c r="E1102" s="63"/>
      <c r="F1102" s="63"/>
      <c r="G1102" s="52"/>
      <c r="H1102" s="52"/>
      <c r="I1102" s="52"/>
      <c r="J1102" s="52"/>
      <c r="K1102" s="52"/>
      <c r="L1102" s="59">
        <v>0.51</v>
      </c>
      <c r="M1102" s="59">
        <v>0.63</v>
      </c>
      <c r="N1102" s="52"/>
      <c r="O1102" s="52"/>
      <c r="P1102" s="63"/>
      <c r="Q1102" s="63"/>
      <c r="R1102" s="63"/>
      <c r="S1102" s="60">
        <v>0.25</v>
      </c>
      <c r="T1102" s="48">
        <f>ROUND((L1102*I1100+1.3*L1102*K1100+S1102*H1100),4)</f>
        <v>387.86099999999999</v>
      </c>
      <c r="U1102" s="48">
        <f>ROUND((M1102*0.9*I1100+1.3*M1102*0.9*K1100+S1102*H1100),4)</f>
        <v>429.53370000000001</v>
      </c>
      <c r="V1102" s="48">
        <f>ROUND((M1102*I1100+1.3*M1102*K1100+S1102*H1100),4)</f>
        <v>475.59300000000002</v>
      </c>
      <c r="W1102" s="48">
        <f>ROUND((L1102*J1100+1.3*L1102*N1100+S1102*G1100),4)</f>
        <v>15.27</v>
      </c>
      <c r="X1102" s="48">
        <f>ROUND((M1102*0.9*J1100+1.3*M1102*0.9*N1100+S1102*G1100),4)</f>
        <v>16.809000000000001</v>
      </c>
      <c r="Y1102" s="48">
        <f>ROUND((M1102*J1100+1.3*M1102*N1100+S1102*G1100),4)</f>
        <v>18.510000000000002</v>
      </c>
      <c r="Z1102" s="49">
        <f>ROUND((P1100*T1102*F1100*O1100/1000000),4)</f>
        <v>6.9800000000000001E-2</v>
      </c>
      <c r="AA1102" s="49">
        <f>ROUND((Q1100*U1102*F1100*O1100/1000000),4)</f>
        <v>3.8699999999999998E-2</v>
      </c>
      <c r="AB1102" s="49">
        <f>ROUND((R1100*V1102*F1100*O1100/1000000),4)</f>
        <v>4.2799999999999998E-2</v>
      </c>
      <c r="AC1102" s="50" t="s">
        <v>203</v>
      </c>
      <c r="AD1102" s="51" t="s">
        <v>204</v>
      </c>
      <c r="AE1102" s="44">
        <f>ROUND((((X1102*E1100)/1800)),4)</f>
        <v>9.2999999999999992E-3</v>
      </c>
      <c r="AF1102" s="44">
        <f>ROUND(((Z1102+AA1102+AB1102)),5)</f>
        <v>0.15129999999999999</v>
      </c>
    </row>
    <row r="1103" spans="1:32" ht="12.95" customHeight="1" x14ac:dyDescent="0.25">
      <c r="A1103" s="52"/>
      <c r="B1103" s="53"/>
      <c r="C1103" s="52"/>
      <c r="D1103" s="52"/>
      <c r="E1103" s="63"/>
      <c r="F1103" s="63"/>
      <c r="G1103" s="52"/>
      <c r="H1103" s="52"/>
      <c r="I1103" s="52"/>
      <c r="J1103" s="52"/>
      <c r="K1103" s="52"/>
      <c r="L1103" s="59">
        <v>1.1399999999999999</v>
      </c>
      <c r="M1103" s="59">
        <v>1.37</v>
      </c>
      <c r="N1103" s="52"/>
      <c r="O1103" s="52"/>
      <c r="P1103" s="63"/>
      <c r="Q1103" s="63"/>
      <c r="R1103" s="63"/>
      <c r="S1103" s="61">
        <v>0.79</v>
      </c>
      <c r="T1103" s="48">
        <f>ROUND((L1103*I1100+1.3*L1103*K1100+S1103*H1100),4)</f>
        <v>880.85400000000004</v>
      </c>
      <c r="U1103" s="48">
        <f>ROUND((M1103*0.9*I1100+1.3*M1103*0.9*K1100+S1103*H1100),4)</f>
        <v>948.84630000000004</v>
      </c>
      <c r="V1103" s="48">
        <f>ROUND((M1103*I1100+1.3*M1103*K1100+S1103*H1100),4)</f>
        <v>1049.0070000000001</v>
      </c>
      <c r="W1103" s="48">
        <f>ROUND((L1103*J1100+1.3*L1103*N1100+S1103*G1100),4)</f>
        <v>35.520000000000003</v>
      </c>
      <c r="X1103" s="48">
        <f>ROUND((M1103*0.9*J1100+1.3*M1103*0.9*N1100+S1103*G1100),4)</f>
        <v>38.030999999999999</v>
      </c>
      <c r="Y1103" s="48">
        <f>ROUND((M1103*J1100+1.3*N1100+S1103*G1100),4)</f>
        <v>36.92</v>
      </c>
      <c r="Z1103" s="49">
        <f>ROUND((P1100*T1103*F1100*O1100/1000000),4)</f>
        <v>0.15859999999999999</v>
      </c>
      <c r="AA1103" s="49">
        <f>ROUND((Q1100*U1103*F1100*O1100/1000000),4)</f>
        <v>8.5400000000000004E-2</v>
      </c>
      <c r="AB1103" s="49">
        <f>ROUND((R1100*V1103*F1100*O1100/1000000),4)</f>
        <v>9.4399999999999998E-2</v>
      </c>
      <c r="AC1103" s="50" t="s">
        <v>205</v>
      </c>
      <c r="AD1103" s="51" t="s">
        <v>206</v>
      </c>
      <c r="AE1103" s="44">
        <f>ROUND((((X1103*E1100)/1800)),4)</f>
        <v>2.1100000000000001E-2</v>
      </c>
      <c r="AF1103" s="44">
        <f>ROUND(((Z1103+AA1103+AB1103)),4)</f>
        <v>0.33839999999999998</v>
      </c>
    </row>
    <row r="1104" spans="1:32" ht="12.95" customHeight="1" x14ac:dyDescent="0.25">
      <c r="A1104" s="52"/>
      <c r="B1104" s="53"/>
      <c r="C1104" s="52"/>
      <c r="D1104" s="52"/>
      <c r="E1104" s="63"/>
      <c r="F1104" s="63"/>
      <c r="G1104" s="52"/>
      <c r="H1104" s="52"/>
      <c r="I1104" s="52"/>
      <c r="J1104" s="52"/>
      <c r="K1104" s="52"/>
      <c r="L1104" s="59">
        <v>0.72</v>
      </c>
      <c r="M1104" s="59">
        <v>1.08</v>
      </c>
      <c r="N1104" s="52"/>
      <c r="O1104" s="52"/>
      <c r="P1104" s="63"/>
      <c r="Q1104" s="63"/>
      <c r="R1104" s="63"/>
      <c r="S1104" s="61">
        <v>0.17</v>
      </c>
      <c r="T1104" s="48">
        <f>ROUND((L1104*I1100+1.3*L1104*K1100+S1104*H1100),4)</f>
        <v>536.59199999999998</v>
      </c>
      <c r="U1104" s="48">
        <f>ROUND((M1104*0.9*I1100+1.3*M1104*0.9*K1100+S1104*H1100),4)</f>
        <v>720.82920000000001</v>
      </c>
      <c r="V1104" s="48">
        <f>ROUND((M1104*I1100+1.3*M1104*K1100+S1104*H1100),4)</f>
        <v>799.78800000000001</v>
      </c>
      <c r="W1104" s="48">
        <f>ROUND((L1104*J1100+1.3*L1104*N1100+S1104*G1100),4)</f>
        <v>20.46</v>
      </c>
      <c r="X1104" s="48">
        <f>ROUND((M1104*0.9*J1100+1.3*M1104*0.9*N1100+S1104*G1100),4)</f>
        <v>27.263999999999999</v>
      </c>
      <c r="Y1104" s="48">
        <f>ROUND((M1104*J1100+1.3*M1104*N1100+S1104*G1100),4)</f>
        <v>30.18</v>
      </c>
      <c r="Z1104" s="49">
        <f>ROUND((P1100*T1104*F1100*O1100/1000000),4)</f>
        <v>9.6600000000000005E-2</v>
      </c>
      <c r="AA1104" s="49">
        <f>ROUND((Q1100*U1104*F1100*O1100/1000000),4)</f>
        <v>6.4899999999999999E-2</v>
      </c>
      <c r="AB1104" s="49">
        <f>ROUND((R1100*V1104*F1100*O1100/1000000),4)</f>
        <v>7.1999999999999995E-2</v>
      </c>
      <c r="AC1104" s="50" t="s">
        <v>250</v>
      </c>
      <c r="AD1104" s="51" t="s">
        <v>208</v>
      </c>
      <c r="AE1104" s="44">
        <f>ROUND((((X1104*E1100)/1800)),4)</f>
        <v>1.5100000000000001E-2</v>
      </c>
      <c r="AF1104" s="44">
        <f>ROUND(((Z1104+AA1104+AB1104)),4)</f>
        <v>0.23350000000000001</v>
      </c>
    </row>
    <row r="1105" spans="1:32" ht="12.95" customHeight="1" x14ac:dyDescent="0.25">
      <c r="A1105" s="52"/>
      <c r="B1105" s="62"/>
      <c r="C1105" s="56"/>
      <c r="D1105" s="56"/>
      <c r="E1105" s="66"/>
      <c r="F1105" s="66"/>
      <c r="G1105" s="56"/>
      <c r="H1105" s="56"/>
      <c r="I1105" s="56"/>
      <c r="J1105" s="56"/>
      <c r="K1105" s="56"/>
      <c r="L1105" s="59">
        <v>3.37</v>
      </c>
      <c r="M1105" s="59">
        <v>4.1100000000000003</v>
      </c>
      <c r="N1105" s="56"/>
      <c r="O1105" s="56"/>
      <c r="P1105" s="66"/>
      <c r="Q1105" s="66"/>
      <c r="R1105" s="66"/>
      <c r="S1105" s="61">
        <v>6.31</v>
      </c>
      <c r="T1105" s="48">
        <f>ROUND((L1105*I1100+1.3*L1105*K1100+S1105*H1100),4)</f>
        <v>2842.4070000000002</v>
      </c>
      <c r="U1105" s="48">
        <f>ROUND((M1105*0.9*I1100+1.3*M1105*0.9*K1100+S1105*H1100),4)</f>
        <v>3082.9389000000001</v>
      </c>
      <c r="V1105" s="48">
        <f>ROUND((M1105*I1100+1.3*M1105*K1100+S1105*H1100),4)</f>
        <v>3383.4209999999998</v>
      </c>
      <c r="W1105" s="48">
        <f>ROUND((L1105*J1100+1.3*L1105*N1100+S1105*G1100),4)</f>
        <v>128.85</v>
      </c>
      <c r="X1105" s="48">
        <f>ROUND((M1105*0.9*J1100+1.3*M1105*0.9*N1100+S1105*G1100),4)</f>
        <v>137.733</v>
      </c>
      <c r="Y1105" s="48">
        <f>ROUND((M1105*J1100+1.3*M1105*N1100+S1105*G1100),4)</f>
        <v>148.83000000000001</v>
      </c>
      <c r="Z1105" s="49">
        <f>ROUND((P1100*T1105*F1100*O1100/1000000),4)</f>
        <v>0.51160000000000005</v>
      </c>
      <c r="AA1105" s="49">
        <f>ROUND((Q1100*U1105*F1100*O1100/1000000),4)</f>
        <v>0.27750000000000002</v>
      </c>
      <c r="AB1105" s="49">
        <f>ROUND((R1100*V1105*F1100*O1100/1000000),4)</f>
        <v>0.30449999999999999</v>
      </c>
      <c r="AC1105" s="50" t="s">
        <v>170</v>
      </c>
      <c r="AD1105" s="51" t="s">
        <v>162</v>
      </c>
      <c r="AE1105" s="44">
        <f>ROUND((((X1105*E1100)/1800)),4)</f>
        <v>7.6499999999999999E-2</v>
      </c>
      <c r="AF1105" s="44">
        <f>ROUND(((Z1105+AA1105+AB1105)),4)</f>
        <v>1.0935999999999999</v>
      </c>
    </row>
    <row r="1106" spans="1:32" ht="12.95" customHeight="1" x14ac:dyDescent="0.25">
      <c r="A1106" s="52"/>
      <c r="B1106" s="67" t="s">
        <v>214</v>
      </c>
      <c r="C1106" s="46">
        <v>6</v>
      </c>
      <c r="D1106" s="45" t="s">
        <v>210</v>
      </c>
      <c r="E1106" s="45">
        <v>1</v>
      </c>
      <c r="F1106" s="45">
        <v>1</v>
      </c>
      <c r="G1106" s="45">
        <v>6</v>
      </c>
      <c r="H1106" s="45">
        <v>60</v>
      </c>
      <c r="I1106" s="45">
        <f>(8-1-0.75*2)*60*F1106-K1106-8*0.12*60</f>
        <v>57.900000000000006</v>
      </c>
      <c r="J1106" s="45">
        <v>14</v>
      </c>
      <c r="K1106" s="45">
        <f>(8-1-0.75*2)*0.65*60*F1106</f>
        <v>214.5</v>
      </c>
      <c r="L1106" s="48">
        <v>6.47</v>
      </c>
      <c r="M1106" s="48">
        <v>6.47</v>
      </c>
      <c r="N1106" s="45">
        <v>10</v>
      </c>
      <c r="O1106" s="45">
        <f>E1106/F1106</f>
        <v>1</v>
      </c>
      <c r="P1106" s="45">
        <v>180</v>
      </c>
      <c r="Q1106" s="45">
        <v>30</v>
      </c>
      <c r="R1106" s="47">
        <v>30</v>
      </c>
      <c r="S1106" s="47">
        <v>1.27</v>
      </c>
      <c r="T1106" s="48">
        <f>ROUND((L1106*I1106+1.3*L1106*K1106+S1106*H1106),4)</f>
        <v>2254.9724999999999</v>
      </c>
      <c r="U1106" s="48">
        <f>ROUND((M1106*I1106+1.3*M1106*K1106+S1106*H1106),4)</f>
        <v>2254.9724999999999</v>
      </c>
      <c r="V1106" s="48">
        <f>ROUND((M1106*I1106+1.3*M1106*K1106+S1106*H1106),4)</f>
        <v>2254.9724999999999</v>
      </c>
      <c r="W1106" s="48">
        <f>ROUND((L1106*J1106+1.3*L1106*N1106+S1106*G1106),4)</f>
        <v>182.31</v>
      </c>
      <c r="X1106" s="48">
        <f>ROUND((M1106*J1106+1.3*M1106*N1106+S1106*G1106),4)</f>
        <v>182.31</v>
      </c>
      <c r="Y1106" s="48">
        <f>ROUND((M1106*J1106+1.3*M1106*N1106+S1106*G1106),4)</f>
        <v>182.31</v>
      </c>
      <c r="Z1106" s="49">
        <f>ROUND((P1106*T1106*F1106*O1106/1000000),4)</f>
        <v>0.40589999999999998</v>
      </c>
      <c r="AA1106" s="49">
        <f>ROUND((Q1106*U1106*F1106*O1106/1000000),4)</f>
        <v>6.7599999999999993E-2</v>
      </c>
      <c r="AB1106" s="49">
        <f>ROUND((R1106*V1106*F1106*O1106/1000000),4)</f>
        <v>6.7599999999999993E-2</v>
      </c>
      <c r="AC1106" s="50" t="s">
        <v>200</v>
      </c>
      <c r="AD1106" s="51" t="s">
        <v>153</v>
      </c>
      <c r="AE1106" s="44">
        <f>ROUND((((X1106*E1106)/1800)*0.8),4)</f>
        <v>8.1000000000000003E-2</v>
      </c>
      <c r="AF1106" s="44">
        <f>ROUND(((Z1106+AA1106+AB1106)*0.8),4)</f>
        <v>0.43290000000000001</v>
      </c>
    </row>
    <row r="1107" spans="1:32" ht="12.95" customHeight="1" x14ac:dyDescent="0.25">
      <c r="A1107" s="52"/>
      <c r="B1107" s="53" t="s">
        <v>215</v>
      </c>
      <c r="C1107" s="52"/>
      <c r="D1107" s="52"/>
      <c r="E1107" s="52"/>
      <c r="F1107" s="52"/>
      <c r="G1107" s="52"/>
      <c r="H1107" s="52"/>
      <c r="I1107" s="52"/>
      <c r="J1107" s="52"/>
      <c r="K1107" s="52"/>
      <c r="L1107" s="56"/>
      <c r="M1107" s="56"/>
      <c r="N1107" s="52"/>
      <c r="O1107" s="52"/>
      <c r="P1107" s="63"/>
      <c r="Q1107" s="63"/>
      <c r="R1107" s="52"/>
      <c r="S1107" s="57"/>
      <c r="T1107" s="54"/>
      <c r="U1107" s="54"/>
      <c r="V1107" s="54"/>
      <c r="W1107" s="54"/>
      <c r="X1107" s="54"/>
      <c r="Y1107" s="54"/>
      <c r="Z1107" s="54"/>
      <c r="AA1107" s="54"/>
      <c r="AB1107" s="54"/>
      <c r="AC1107" s="50" t="s">
        <v>201</v>
      </c>
      <c r="AD1107" s="51" t="s">
        <v>202</v>
      </c>
      <c r="AE1107" s="44">
        <f>ROUND((((X1106*E1106)/1800)*0.13),4)</f>
        <v>1.32E-2</v>
      </c>
      <c r="AF1107" s="44">
        <f>ROUND(((Z1106+AA1106+AB1106)*0.13),4)</f>
        <v>7.0300000000000001E-2</v>
      </c>
    </row>
    <row r="1108" spans="1:32" ht="12.95" customHeight="1" x14ac:dyDescent="0.25">
      <c r="A1108" s="52"/>
      <c r="B1108" s="88"/>
      <c r="C1108" s="55"/>
      <c r="D1108" s="55"/>
      <c r="E1108" s="52"/>
      <c r="F1108" s="52"/>
      <c r="G1108" s="52"/>
      <c r="H1108" s="52"/>
      <c r="I1108" s="52"/>
      <c r="J1108" s="52"/>
      <c r="K1108" s="52"/>
      <c r="L1108" s="59">
        <v>0.51</v>
      </c>
      <c r="M1108" s="59">
        <v>0.63</v>
      </c>
      <c r="N1108" s="52"/>
      <c r="O1108" s="52"/>
      <c r="P1108" s="63"/>
      <c r="Q1108" s="63"/>
      <c r="R1108" s="52"/>
      <c r="S1108" s="60">
        <v>0.25</v>
      </c>
      <c r="T1108" s="48">
        <f>ROUND((L1108*I1106+1.3*L1108*K1106+S1108*H1106),4)</f>
        <v>186.74250000000001</v>
      </c>
      <c r="U1108" s="48">
        <f>ROUND((M1108*0.9*I1106+1.3*M1108*0.9*K1106+S1108*H1106),4)</f>
        <v>205.93729999999999</v>
      </c>
      <c r="V1108" s="48">
        <f>ROUND((M1108*I1106+1.3*M1108*K1106+S1108*H1106),4)</f>
        <v>227.1525</v>
      </c>
      <c r="W1108" s="48">
        <f>ROUND((L1108*J1106+1.3*L1108*N1106+S1108*G1106),4)</f>
        <v>15.27</v>
      </c>
      <c r="X1108" s="48">
        <f>ROUND((M1108*0.9*J1106+1.3*M1108*0.9*N1106+S1108*G1106),4)</f>
        <v>16.809000000000001</v>
      </c>
      <c r="Y1108" s="48">
        <f>ROUND((M1108*J1106+1.3*M1108*N1106+S1108*G1106),4)</f>
        <v>18.510000000000002</v>
      </c>
      <c r="Z1108" s="49">
        <f>ROUND((P1106*T1108*F1106*O1106/1000000),4)</f>
        <v>3.3599999999999998E-2</v>
      </c>
      <c r="AA1108" s="49">
        <f>ROUND((Q1106*U1108*F1106*O1106/1000000),4)</f>
        <v>6.1999999999999998E-3</v>
      </c>
      <c r="AB1108" s="49">
        <f>ROUND((R1106*V1108*F1106*O1106/1000000),4)</f>
        <v>6.7999999999999996E-3</v>
      </c>
      <c r="AC1108" s="50" t="s">
        <v>203</v>
      </c>
      <c r="AD1108" s="51" t="s">
        <v>204</v>
      </c>
      <c r="AE1108" s="44">
        <f>ROUND((((X1108*E1106)/1800)),4)</f>
        <v>9.2999999999999992E-3</v>
      </c>
      <c r="AF1108" s="44">
        <f>ROUND(((Z1108+AA1108+AB1108)),5)</f>
        <v>4.6600000000000003E-2</v>
      </c>
    </row>
    <row r="1109" spans="1:32" ht="12.95" customHeight="1" x14ac:dyDescent="0.25">
      <c r="A1109" s="52"/>
      <c r="B1109" s="88"/>
      <c r="C1109" s="52"/>
      <c r="D1109" s="52"/>
      <c r="E1109" s="52"/>
      <c r="F1109" s="52"/>
      <c r="G1109" s="52"/>
      <c r="H1109" s="52"/>
      <c r="I1109" s="52"/>
      <c r="J1109" s="52"/>
      <c r="K1109" s="52"/>
      <c r="L1109" s="59">
        <v>1.1399999999999999</v>
      </c>
      <c r="M1109" s="59">
        <v>1.37</v>
      </c>
      <c r="N1109" s="52"/>
      <c r="O1109" s="52"/>
      <c r="P1109" s="63"/>
      <c r="Q1109" s="63"/>
      <c r="R1109" s="52"/>
      <c r="S1109" s="61">
        <v>0.79</v>
      </c>
      <c r="T1109" s="48">
        <f>ROUND((L1109*I1106+1.3*L1109*K1106+S1109*H1106),4)</f>
        <v>431.29500000000002</v>
      </c>
      <c r="U1109" s="48">
        <f>ROUND((M1109*0.9*I1106+1.3*M1109*0.9*K1106+S1109*H1106),4)</f>
        <v>462.61279999999999</v>
      </c>
      <c r="V1109" s="48">
        <f>ROUND((M1109*I1106+1.3*M1109*K1106+S1109*H1106),4)</f>
        <v>508.7475</v>
      </c>
      <c r="W1109" s="48">
        <f>ROUND((L1109*J1106+1.3*L1109*N1106+S1109*G1106),4)</f>
        <v>35.520000000000003</v>
      </c>
      <c r="X1109" s="48">
        <f>ROUND((M1109*0.9*J1106+1.3*M1109*0.9*N1106+S1109*G1106),4)</f>
        <v>38.030999999999999</v>
      </c>
      <c r="Y1109" s="48">
        <f>ROUND((M1109*J1106+1.3*N1106+S1109*G1106),4)</f>
        <v>36.92</v>
      </c>
      <c r="Z1109" s="49">
        <f>ROUND((P1106*T1109*F1106*O1106/1000000),4)</f>
        <v>7.7600000000000002E-2</v>
      </c>
      <c r="AA1109" s="49">
        <f>ROUND((Q1106*U1109*F1106*O1106/1000000),4)</f>
        <v>1.3899999999999999E-2</v>
      </c>
      <c r="AB1109" s="49">
        <f>ROUND((R1106*V1109*F1106*O1106/1000000),4)</f>
        <v>1.5299999999999999E-2</v>
      </c>
      <c r="AC1109" s="50" t="s">
        <v>205</v>
      </c>
      <c r="AD1109" s="51" t="s">
        <v>206</v>
      </c>
      <c r="AE1109" s="44">
        <f>ROUND((((X1109*E1106)/1800)),4)</f>
        <v>2.1100000000000001E-2</v>
      </c>
      <c r="AF1109" s="44">
        <f>ROUND(((Z1109+AA1109+AB1109)),4)</f>
        <v>0.10680000000000001</v>
      </c>
    </row>
    <row r="1110" spans="1:32" ht="12.95" customHeight="1" x14ac:dyDescent="0.25">
      <c r="A1110" s="52"/>
      <c r="B1110" s="53"/>
      <c r="C1110" s="52"/>
      <c r="D1110" s="52"/>
      <c r="E1110" s="52"/>
      <c r="F1110" s="52"/>
      <c r="G1110" s="52"/>
      <c r="H1110" s="52"/>
      <c r="I1110" s="52"/>
      <c r="J1110" s="52"/>
      <c r="K1110" s="52"/>
      <c r="L1110" s="59">
        <v>0.72</v>
      </c>
      <c r="M1110" s="59">
        <v>1.08</v>
      </c>
      <c r="N1110" s="52"/>
      <c r="O1110" s="52"/>
      <c r="P1110" s="63"/>
      <c r="Q1110" s="63"/>
      <c r="R1110" s="52"/>
      <c r="S1110" s="61">
        <v>0.17</v>
      </c>
      <c r="T1110" s="48">
        <f>ROUND((L1110*I1106+1.3*L1110*K1106+S1110*H1106),4)</f>
        <v>252.66</v>
      </c>
      <c r="U1110" s="48">
        <f>ROUND((M1110*0.9*I1106+1.3*M1110*0.9*K1106+S1110*H1106),4)</f>
        <v>337.52100000000002</v>
      </c>
      <c r="V1110" s="48">
        <f>ROUND((M1110*I1106+1.3*M1110*K1106+S1110*H1106),4)</f>
        <v>373.89</v>
      </c>
      <c r="W1110" s="48">
        <f>ROUND((L1110*J1106+1.3*L1110*N1106+S1110*G1106),4)</f>
        <v>20.46</v>
      </c>
      <c r="X1110" s="48">
        <f>ROUND((M1110*0.9*J1106+1.3*M1110*0.9*N1106+S1110*G1106),4)</f>
        <v>27.263999999999999</v>
      </c>
      <c r="Y1110" s="48">
        <f>ROUND((M1110*J1106+1.3*M1110*N1106+S1110*G1106),4)</f>
        <v>30.18</v>
      </c>
      <c r="Z1110" s="49">
        <f>ROUND((P1106*T1110*F1106*O1106/1000000),4)</f>
        <v>4.5499999999999999E-2</v>
      </c>
      <c r="AA1110" s="49">
        <f>ROUND((Q1106*U1110*F1106*O1106/1000000),4)</f>
        <v>1.01E-2</v>
      </c>
      <c r="AB1110" s="49">
        <f>ROUND((R1106*V1110*F1106*O1106/1000000),4)</f>
        <v>1.12E-2</v>
      </c>
      <c r="AC1110" s="50" t="s">
        <v>250</v>
      </c>
      <c r="AD1110" s="51" t="s">
        <v>208</v>
      </c>
      <c r="AE1110" s="44">
        <f>ROUND((((X1110*E1106)/1800)),4)</f>
        <v>1.5100000000000001E-2</v>
      </c>
      <c r="AF1110" s="44">
        <f>ROUND(((Z1110+AA1110+AB1110)),4)</f>
        <v>6.6799999999999998E-2</v>
      </c>
    </row>
    <row r="1111" spans="1:32" ht="12.95" customHeight="1" x14ac:dyDescent="0.25">
      <c r="A1111" s="52"/>
      <c r="B1111" s="62"/>
      <c r="C1111" s="56"/>
      <c r="D1111" s="56"/>
      <c r="E1111" s="56"/>
      <c r="F1111" s="56"/>
      <c r="G1111" s="56"/>
      <c r="H1111" s="56"/>
      <c r="I1111" s="56"/>
      <c r="J1111" s="56"/>
      <c r="K1111" s="56"/>
      <c r="L1111" s="59">
        <v>3.37</v>
      </c>
      <c r="M1111" s="59">
        <v>4.1100000000000003</v>
      </c>
      <c r="N1111" s="56"/>
      <c r="O1111" s="56"/>
      <c r="P1111" s="66"/>
      <c r="Q1111" s="66"/>
      <c r="R1111" s="56"/>
      <c r="S1111" s="61">
        <v>6.31</v>
      </c>
      <c r="T1111" s="48">
        <f>ROUND((L1111*I1106+1.3*L1111*K1106+S1111*H1106),4)</f>
        <v>1513.4475</v>
      </c>
      <c r="U1111" s="48">
        <f>ROUND((M1111*0.9*I1106+1.3*M1111*0.9*K1106+S1111*H1106),4)</f>
        <v>1624.2383</v>
      </c>
      <c r="V1111" s="48">
        <f>ROUND((M1111*I1106+1.3*M1111*K1106+S1111*H1106),4)</f>
        <v>1762.6424999999999</v>
      </c>
      <c r="W1111" s="48">
        <f>ROUND((L1111*J1106+1.3*L1111*N1106+S1111*G1106),4)</f>
        <v>128.85</v>
      </c>
      <c r="X1111" s="48">
        <f>ROUND((M1111*0.9*J1106+1.3*M1111*0.9*N1106+S1111*G1106),4)</f>
        <v>137.733</v>
      </c>
      <c r="Y1111" s="48">
        <f>ROUND((M1111*J1106+1.3*M1111*N1106+S1111*G1106),4)</f>
        <v>148.83000000000001</v>
      </c>
      <c r="Z1111" s="49">
        <f>ROUND((P1106*T1111*F1106*O1106/1000000),4)</f>
        <v>0.27239999999999998</v>
      </c>
      <c r="AA1111" s="49">
        <f>ROUND((Q1106*U1111*F1106*O1106/1000000),4)</f>
        <v>4.87E-2</v>
      </c>
      <c r="AB1111" s="49">
        <f>ROUND((R1106*V1111*F1106*O1106/1000000),4)</f>
        <v>5.2900000000000003E-2</v>
      </c>
      <c r="AC1111" s="50" t="s">
        <v>170</v>
      </c>
      <c r="AD1111" s="51" t="s">
        <v>162</v>
      </c>
      <c r="AE1111" s="44">
        <f>ROUND((((X1111*E1106)/1800)),4)</f>
        <v>7.6499999999999999E-2</v>
      </c>
      <c r="AF1111" s="44">
        <f>ROUND(((Z1111+AA1111+AB1111)),4)</f>
        <v>0.374</v>
      </c>
    </row>
    <row r="1112" spans="1:32" ht="12.95" customHeight="1" x14ac:dyDescent="0.25">
      <c r="A1112" s="52"/>
      <c r="B1112" s="67" t="s">
        <v>214</v>
      </c>
      <c r="C1112" s="46">
        <v>7</v>
      </c>
      <c r="D1112" s="45" t="s">
        <v>217</v>
      </c>
      <c r="E1112" s="45">
        <v>1</v>
      </c>
      <c r="F1112" s="45">
        <v>1</v>
      </c>
      <c r="G1112" s="45">
        <v>6</v>
      </c>
      <c r="H1112" s="45">
        <v>60</v>
      </c>
      <c r="I1112" s="45">
        <f>(8-1-0.75*2)*60*F1112-K1112-8*0.12*60</f>
        <v>57.900000000000006</v>
      </c>
      <c r="J1112" s="45">
        <v>14</v>
      </c>
      <c r="K1112" s="45">
        <f>(8-1-0.75*2)*0.65*60*F1112</f>
        <v>214.5</v>
      </c>
      <c r="L1112" s="48">
        <v>10.16</v>
      </c>
      <c r="M1112" s="48">
        <v>10.16</v>
      </c>
      <c r="N1112" s="45">
        <v>10</v>
      </c>
      <c r="O1112" s="45">
        <f>E1112/F1112</f>
        <v>1</v>
      </c>
      <c r="P1112" s="45">
        <v>180</v>
      </c>
      <c r="Q1112" s="45">
        <v>30</v>
      </c>
      <c r="R1112" s="47">
        <v>30</v>
      </c>
      <c r="S1112" s="47">
        <v>1.99</v>
      </c>
      <c r="T1112" s="48">
        <f>ROUND((L1112*I1112+1.3*L1112*K1112+S1112*H1112),4)</f>
        <v>3540.78</v>
      </c>
      <c r="U1112" s="48">
        <f>ROUND((M1112*I1112+1.3*M1112*K1112+S1112*H1112),4)</f>
        <v>3540.78</v>
      </c>
      <c r="V1112" s="48">
        <f>ROUND((M1112*I1112+1.3*M1112*K1112+S1112*H1112),4)</f>
        <v>3540.78</v>
      </c>
      <c r="W1112" s="48">
        <f>ROUND((L1112*J1112+1.3*L1112*N1112+S1112*G1112),4)</f>
        <v>286.26</v>
      </c>
      <c r="X1112" s="48">
        <f>ROUND((M1112*J1112+1.3*M1112*N1112+S1112*G1112),4)</f>
        <v>286.26</v>
      </c>
      <c r="Y1112" s="48">
        <f>ROUND((M1112*J1112+1.3*M1112*N1112+S1112*G1112),4)</f>
        <v>286.26</v>
      </c>
      <c r="Z1112" s="49">
        <f>ROUND((P1112*T1112*F1112*O1112/1000000),4)</f>
        <v>0.63729999999999998</v>
      </c>
      <c r="AA1112" s="49">
        <f>ROUND((Q1112*U1112*F1112*O1112/1000000),4)</f>
        <v>0.1062</v>
      </c>
      <c r="AB1112" s="49">
        <f>ROUND((R1112*V1112*F1112*O1112/1000000),4)</f>
        <v>0.1062</v>
      </c>
      <c r="AC1112" s="50" t="s">
        <v>200</v>
      </c>
      <c r="AD1112" s="51" t="s">
        <v>153</v>
      </c>
      <c r="AE1112" s="44">
        <f>ROUND((((X1112*E1112)/1800)*0.8),4)</f>
        <v>0.12720000000000001</v>
      </c>
      <c r="AF1112" s="44">
        <f>ROUND(((Z1112+AA1112+AB1112)*0.8),4)</f>
        <v>0.67979999999999996</v>
      </c>
    </row>
    <row r="1113" spans="1:32" ht="12.95" customHeight="1" x14ac:dyDescent="0.25">
      <c r="A1113" s="52"/>
      <c r="B1113" s="53" t="s">
        <v>216</v>
      </c>
      <c r="C1113" s="52"/>
      <c r="D1113" s="52"/>
      <c r="E1113" s="52"/>
      <c r="F1113" s="52"/>
      <c r="G1113" s="52"/>
      <c r="H1113" s="52"/>
      <c r="I1113" s="52"/>
      <c r="J1113" s="52"/>
      <c r="K1113" s="52"/>
      <c r="L1113" s="56"/>
      <c r="M1113" s="56"/>
      <c r="N1113" s="52"/>
      <c r="O1113" s="52"/>
      <c r="P1113" s="52"/>
      <c r="Q1113" s="52"/>
      <c r="R1113" s="52"/>
      <c r="S1113" s="57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0" t="s">
        <v>201</v>
      </c>
      <c r="AD1113" s="51" t="s">
        <v>202</v>
      </c>
      <c r="AE1113" s="44">
        <f>ROUND((((X1112*E1112)/1800)*0.13),4)</f>
        <v>2.07E-2</v>
      </c>
      <c r="AF1113" s="44">
        <f>ROUND(((Z1112+AA1112+AB1112)*0.13),4)</f>
        <v>0.1105</v>
      </c>
    </row>
    <row r="1114" spans="1:32" ht="12.95" customHeight="1" x14ac:dyDescent="0.25">
      <c r="A1114" s="52"/>
      <c r="B1114" s="88"/>
      <c r="C1114" s="55"/>
      <c r="D1114" s="55"/>
      <c r="E1114" s="52"/>
      <c r="F1114" s="52"/>
      <c r="G1114" s="52"/>
      <c r="H1114" s="52"/>
      <c r="I1114" s="52"/>
      <c r="J1114" s="52"/>
      <c r="K1114" s="52"/>
      <c r="L1114" s="59">
        <v>0.8</v>
      </c>
      <c r="M1114" s="59">
        <v>0.98</v>
      </c>
      <c r="N1114" s="52"/>
      <c r="O1114" s="52"/>
      <c r="P1114" s="52"/>
      <c r="Q1114" s="52"/>
      <c r="R1114" s="52"/>
      <c r="S1114" s="60">
        <v>0.39</v>
      </c>
      <c r="T1114" s="48">
        <f>ROUND((L1114*I1112+1.3*L1114*K1112+S1114*H1112),4)</f>
        <v>292.8</v>
      </c>
      <c r="U1114" s="48">
        <f>ROUND((M1114*0.9*I1112+1.3*M1114*0.9*K1112+S1114*H1112),4)</f>
        <v>320.4135</v>
      </c>
      <c r="V1114" s="48">
        <f>ROUND((M1114*I1112+1.3*M1114*K1112+S1114*H1112),4)</f>
        <v>353.41500000000002</v>
      </c>
      <c r="W1114" s="48">
        <f>ROUND((L1114*J1112+1.3*L1114*N1112+S1114*G1112),4)</f>
        <v>23.94</v>
      </c>
      <c r="X1114" s="48">
        <f>ROUND((M1114*0.9*J1112+1.3*M1114*0.9*N1112+S1114*G1112),4)</f>
        <v>26.154</v>
      </c>
      <c r="Y1114" s="48">
        <f>ROUND((M1114*J1112+1.3*M1114*N1112+S1114*G1112),4)</f>
        <v>28.8</v>
      </c>
      <c r="Z1114" s="49">
        <f>ROUND((P1112*T1114*F1112*O1112/1000000),4)</f>
        <v>5.2699999999999997E-2</v>
      </c>
      <c r="AA1114" s="49">
        <f>ROUND((Q1112*U1114*F1112*O1112/1000000),4)</f>
        <v>9.5999999999999992E-3</v>
      </c>
      <c r="AB1114" s="49">
        <f>ROUND((R1112*V1114*F1112*O1112/1000000),4)</f>
        <v>1.06E-2</v>
      </c>
      <c r="AC1114" s="50" t="s">
        <v>203</v>
      </c>
      <c r="AD1114" s="51" t="s">
        <v>204</v>
      </c>
      <c r="AE1114" s="44">
        <f>ROUND((((X1114*E1112)/1800)),4)</f>
        <v>1.4500000000000001E-2</v>
      </c>
      <c r="AF1114" s="44">
        <f>ROUND(((Z1114+AA1114+AB1114)),5)</f>
        <v>7.2900000000000006E-2</v>
      </c>
    </row>
    <row r="1115" spans="1:32" ht="12.95" customHeight="1" x14ac:dyDescent="0.25">
      <c r="A1115" s="52"/>
      <c r="B1115" s="88"/>
      <c r="C1115" s="52"/>
      <c r="D1115" s="52"/>
      <c r="E1115" s="52"/>
      <c r="F1115" s="63"/>
      <c r="G1115" s="52"/>
      <c r="H1115" s="52"/>
      <c r="I1115" s="52"/>
      <c r="J1115" s="52"/>
      <c r="K1115" s="52"/>
      <c r="L1115" s="59">
        <v>1.79</v>
      </c>
      <c r="M1115" s="59">
        <v>2.15</v>
      </c>
      <c r="N1115" s="52"/>
      <c r="O1115" s="52"/>
      <c r="P1115" s="52"/>
      <c r="Q1115" s="52"/>
      <c r="R1115" s="52"/>
      <c r="S1115" s="61">
        <v>1.24</v>
      </c>
      <c r="T1115" s="48">
        <f>ROUND((L1115*I1112+1.3*L1115*K1112+S1115*H1112),4)</f>
        <v>677.1825</v>
      </c>
      <c r="U1115" s="48">
        <f>ROUND((M1115*0.9*I1112+1.3*M1115*0.9*K1112+S1115*H1112),4)</f>
        <v>726.01130000000001</v>
      </c>
      <c r="V1115" s="48">
        <f>ROUND((M1115*I1112+1.3*M1115*K1112+S1115*H1112),4)</f>
        <v>798.41250000000002</v>
      </c>
      <c r="W1115" s="48">
        <f>ROUND((L1115*J1112+1.3*L1115*N1112+S1115*G1112),4)</f>
        <v>55.77</v>
      </c>
      <c r="X1115" s="48">
        <f>ROUND((M1115*0.9*J1112+1.3*M1115*0.9*N1112+S1115*G1112),4)</f>
        <v>59.685000000000002</v>
      </c>
      <c r="Y1115" s="48">
        <f>ROUND((M1115*J1112+1.3*N1112+S1115*G1112),4)</f>
        <v>50.54</v>
      </c>
      <c r="Z1115" s="49">
        <f>ROUND((P1112*T1115*F1112*O1112/1000000),4)</f>
        <v>0.12189999999999999</v>
      </c>
      <c r="AA1115" s="49">
        <f>ROUND((Q1112*U1115*F1112*O1112/1000000),4)</f>
        <v>2.18E-2</v>
      </c>
      <c r="AB1115" s="49">
        <f>ROUND((R1112*V1115*F1112*O1112/1000000),4)</f>
        <v>2.4E-2</v>
      </c>
      <c r="AC1115" s="50" t="s">
        <v>205</v>
      </c>
      <c r="AD1115" s="51" t="s">
        <v>206</v>
      </c>
      <c r="AE1115" s="44">
        <f>ROUND((((X1115*E1112)/1800)),4)</f>
        <v>3.32E-2</v>
      </c>
      <c r="AF1115" s="44">
        <f>ROUND(((Z1115+AA1115+AB1115)),4)</f>
        <v>0.16769999999999999</v>
      </c>
    </row>
    <row r="1116" spans="1:32" ht="12.95" customHeight="1" x14ac:dyDescent="0.25">
      <c r="A1116" s="52"/>
      <c r="B1116" s="53"/>
      <c r="C1116" s="52"/>
      <c r="D1116" s="52"/>
      <c r="E1116" s="52"/>
      <c r="F1116" s="63"/>
      <c r="G1116" s="52"/>
      <c r="H1116" s="52"/>
      <c r="I1116" s="52"/>
      <c r="J1116" s="52"/>
      <c r="K1116" s="52"/>
      <c r="L1116" s="59">
        <v>1.1299999999999999</v>
      </c>
      <c r="M1116" s="59">
        <v>1.7</v>
      </c>
      <c r="N1116" s="52"/>
      <c r="O1116" s="52"/>
      <c r="P1116" s="52"/>
      <c r="Q1116" s="52"/>
      <c r="R1116" s="52"/>
      <c r="S1116" s="61">
        <v>0.26</v>
      </c>
      <c r="T1116" s="48">
        <f>ROUND((L1116*I1112+1.3*L1116*K1112+S1116*H1112),4)</f>
        <v>396.1275</v>
      </c>
      <c r="U1116" s="48">
        <f>ROUND((M1116*0.9*I1112+1.3*M1116*0.9*K1112+S1116*H1112),4)</f>
        <v>530.82749999999999</v>
      </c>
      <c r="V1116" s="48">
        <f>ROUND((M1116*I1112+1.3*M1116*K1112+S1116*H1112),4)</f>
        <v>588.07500000000005</v>
      </c>
      <c r="W1116" s="48">
        <f>ROUND((L1116*J1112+1.3*L1116*N1112+S1116*G1112),4)</f>
        <v>32.07</v>
      </c>
      <c r="X1116" s="48">
        <f>ROUND((M1116*0.9*J1112+1.3*M1116*0.9*N1112+S1116*G1112),4)</f>
        <v>42.87</v>
      </c>
      <c r="Y1116" s="48">
        <f>ROUND((M1116*J1112+1.3*M1116*N1112+S1116*G1112),4)</f>
        <v>47.46</v>
      </c>
      <c r="Z1116" s="49">
        <f>ROUND((P1112*T1116*F1112*O1112/1000000),4)</f>
        <v>7.1300000000000002E-2</v>
      </c>
      <c r="AA1116" s="49">
        <f>ROUND((Q1112*U1116*F1112*O1112/1000000),4)</f>
        <v>1.5900000000000001E-2</v>
      </c>
      <c r="AB1116" s="49">
        <f>ROUND((R1112*V1116*F1112*O1112/1000000),4)</f>
        <v>1.7600000000000001E-2</v>
      </c>
      <c r="AC1116" s="50" t="s">
        <v>250</v>
      </c>
      <c r="AD1116" s="51" t="s">
        <v>208</v>
      </c>
      <c r="AE1116" s="44">
        <f>ROUND((((X1116*E1112)/1800)),4)</f>
        <v>2.3800000000000002E-2</v>
      </c>
      <c r="AF1116" s="44">
        <f>ROUND(((Z1116+AA1116+AB1116)),4)</f>
        <v>0.1048</v>
      </c>
    </row>
    <row r="1117" spans="1:32" ht="12.95" customHeight="1" x14ac:dyDescent="0.25">
      <c r="A1117" s="52"/>
      <c r="B1117" s="62"/>
      <c r="C1117" s="56"/>
      <c r="D1117" s="56"/>
      <c r="E1117" s="56"/>
      <c r="F1117" s="66"/>
      <c r="G1117" s="56"/>
      <c r="H1117" s="56"/>
      <c r="I1117" s="56"/>
      <c r="J1117" s="56"/>
      <c r="K1117" s="56"/>
      <c r="L1117" s="59">
        <v>5.3</v>
      </c>
      <c r="M1117" s="59">
        <v>6.47</v>
      </c>
      <c r="N1117" s="56"/>
      <c r="O1117" s="56"/>
      <c r="P1117" s="56"/>
      <c r="Q1117" s="56"/>
      <c r="R1117" s="56"/>
      <c r="S1117" s="61">
        <v>9.92</v>
      </c>
      <c r="T1117" s="48">
        <f>ROUND((L1117*I1112+1.3*L1117*K1112+S1117*H1112),4)</f>
        <v>2379.9749999999999</v>
      </c>
      <c r="U1117" s="48">
        <f>ROUND((M1117*0.9*I1112+1.3*M1117*0.9*K1112+S1117*H1112),4)</f>
        <v>2556.0953</v>
      </c>
      <c r="V1117" s="48">
        <f>ROUND((M1117*I1112+1.3*M1117*K1112+S1117*H1112),4)</f>
        <v>2773.9724999999999</v>
      </c>
      <c r="W1117" s="48">
        <f>ROUND((L1117*J1112+1.3*L1117*N1112+S1117*G1112),4)</f>
        <v>202.62</v>
      </c>
      <c r="X1117" s="48">
        <f>ROUND((M1117*0.9*J1112+1.3*M1117*0.9*N1112+S1117*G1112),4)</f>
        <v>216.74100000000001</v>
      </c>
      <c r="Y1117" s="48">
        <f>ROUND((M1117*J1112+1.3*M1117*N1112+S1117*G1112),4)</f>
        <v>234.21</v>
      </c>
      <c r="Z1117" s="49">
        <f>ROUND((P1112*T1117*F1112*O1112/1000000),4)</f>
        <v>0.4284</v>
      </c>
      <c r="AA1117" s="49">
        <f>ROUND((Q1112*U1117*F1112*O1112/1000000),4)</f>
        <v>7.6700000000000004E-2</v>
      </c>
      <c r="AB1117" s="49">
        <f>ROUND((R1112*V1117*F1112*O1112/1000000),4)</f>
        <v>8.3199999999999996E-2</v>
      </c>
      <c r="AC1117" s="50" t="s">
        <v>170</v>
      </c>
      <c r="AD1117" s="51" t="s">
        <v>162</v>
      </c>
      <c r="AE1117" s="44">
        <f>ROUND((((X1117*E1112)/1800)),4)</f>
        <v>0.12039999999999999</v>
      </c>
      <c r="AF1117" s="44">
        <f>ROUND(((Z1117+AA1117+AB1117)),4)</f>
        <v>0.58830000000000005</v>
      </c>
    </row>
    <row r="1118" spans="1:32" ht="12.95" customHeight="1" x14ac:dyDescent="0.25">
      <c r="A1118" s="52"/>
      <c r="B1118" s="67" t="s">
        <v>220</v>
      </c>
      <c r="C1118" s="46">
        <v>7</v>
      </c>
      <c r="D1118" s="45" t="s">
        <v>217</v>
      </c>
      <c r="E1118" s="45">
        <v>1</v>
      </c>
      <c r="F1118" s="45">
        <v>3</v>
      </c>
      <c r="G1118" s="45">
        <v>6</v>
      </c>
      <c r="H1118" s="45">
        <v>60</v>
      </c>
      <c r="I1118" s="45">
        <f>(8-1-0.75*2)*60*F1118-K1118-8*0.12*60</f>
        <v>288.89999999999998</v>
      </c>
      <c r="J1118" s="45">
        <v>14</v>
      </c>
      <c r="K1118" s="45">
        <f>(8-1-0.75*2)*0.65*60*F1118</f>
        <v>643.5</v>
      </c>
      <c r="L1118" s="48">
        <v>10.16</v>
      </c>
      <c r="M1118" s="48">
        <v>10.16</v>
      </c>
      <c r="N1118" s="45">
        <v>10</v>
      </c>
      <c r="O1118" s="45">
        <f>E1118/F1118</f>
        <v>0.33333333333333331</v>
      </c>
      <c r="P1118" s="45">
        <v>150</v>
      </c>
      <c r="Q1118" s="45">
        <v>15</v>
      </c>
      <c r="R1118" s="47">
        <v>15</v>
      </c>
      <c r="S1118" s="47">
        <v>1.99</v>
      </c>
      <c r="T1118" s="48">
        <f>ROUND((L1118*I1118+1.3*L1118*K1118+S1118*H1118),4)</f>
        <v>11553.972</v>
      </c>
      <c r="U1118" s="48">
        <f>ROUND((M1118*I1118+1.3*M1118*K1118+S1118*H1118),4)</f>
        <v>11553.972</v>
      </c>
      <c r="V1118" s="48">
        <f>ROUND((M1118*I1118+1.3*M1118*K1118+S1118*H1118),4)</f>
        <v>11553.972</v>
      </c>
      <c r="W1118" s="48">
        <f>ROUND((L1118*J1118+1.3*L1118*N1118+S1118*G1118),4)</f>
        <v>286.26</v>
      </c>
      <c r="X1118" s="48">
        <f>ROUND((M1118*J1118+1.3*M1118*N1118+S1118*G1118),4)</f>
        <v>286.26</v>
      </c>
      <c r="Y1118" s="48">
        <f>ROUND((M1118*J1118+1.3*M1118*N1118+S1118*G1118),4)</f>
        <v>286.26</v>
      </c>
      <c r="Z1118" s="49">
        <f>ROUND((P1118*T1118*F1118*O1118/1000000),4)</f>
        <v>1.7331000000000001</v>
      </c>
      <c r="AA1118" s="49">
        <f>ROUND((Q1118*U1118*F1118*O1118/1000000),4)</f>
        <v>0.17330000000000001</v>
      </c>
      <c r="AB1118" s="49">
        <f>ROUND((R1118*V1118*F1118*O1118/1000000),4)</f>
        <v>0.17330000000000001</v>
      </c>
      <c r="AC1118" s="50" t="s">
        <v>200</v>
      </c>
      <c r="AD1118" s="51" t="s">
        <v>153</v>
      </c>
      <c r="AE1118" s="44">
        <f>ROUND((((X1118*E1118)/1800)*0.8),4)</f>
        <v>0.12720000000000001</v>
      </c>
      <c r="AF1118" s="44">
        <f>ROUND(((Z1118+AA1118+AB1118)*0.8),4)</f>
        <v>1.6637999999999999</v>
      </c>
    </row>
    <row r="1119" spans="1:32" ht="12.95" customHeight="1" x14ac:dyDescent="0.25">
      <c r="A1119" s="52"/>
      <c r="B1119" s="53" t="s">
        <v>221</v>
      </c>
      <c r="C1119" s="52"/>
      <c r="D1119" s="52"/>
      <c r="E1119" s="52"/>
      <c r="F1119" s="52"/>
      <c r="G1119" s="52"/>
      <c r="H1119" s="52"/>
      <c r="I1119" s="52"/>
      <c r="J1119" s="52"/>
      <c r="K1119" s="52"/>
      <c r="L1119" s="56"/>
      <c r="M1119" s="56"/>
      <c r="N1119" s="52"/>
      <c r="O1119" s="52"/>
      <c r="P1119" s="52"/>
      <c r="Q1119" s="52"/>
      <c r="R1119" s="52"/>
      <c r="S1119" s="57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0" t="s">
        <v>201</v>
      </c>
      <c r="AD1119" s="51" t="s">
        <v>202</v>
      </c>
      <c r="AE1119" s="44">
        <f>ROUND((((X1118*E1118)/1800)*0.13),4)</f>
        <v>2.07E-2</v>
      </c>
      <c r="AF1119" s="44">
        <f>ROUND(((Z1118+AA1118+AB1118)*0.13),4)</f>
        <v>0.27039999999999997</v>
      </c>
    </row>
    <row r="1120" spans="1:32" ht="12.95" customHeight="1" x14ac:dyDescent="0.25">
      <c r="A1120" s="52"/>
      <c r="B1120" s="88"/>
      <c r="C1120" s="55"/>
      <c r="D1120" s="55"/>
      <c r="E1120" s="52"/>
      <c r="F1120" s="52"/>
      <c r="G1120" s="52"/>
      <c r="H1120" s="52"/>
      <c r="I1120" s="52"/>
      <c r="J1120" s="52"/>
      <c r="K1120" s="52"/>
      <c r="L1120" s="59">
        <v>0.8</v>
      </c>
      <c r="M1120" s="59">
        <v>0.98</v>
      </c>
      <c r="N1120" s="52"/>
      <c r="O1120" s="52"/>
      <c r="P1120" s="52"/>
      <c r="Q1120" s="52"/>
      <c r="R1120" s="52"/>
      <c r="S1120" s="60">
        <v>0.39</v>
      </c>
      <c r="T1120" s="48">
        <f>ROUND((L1120*I1118+1.3*L1120*K1118+S1120*H1118),4)</f>
        <v>923.76</v>
      </c>
      <c r="U1120" s="48">
        <f>ROUND((M1120*0.9*I1118+1.3*M1120*0.9*K1118+S1120*H1118),4)</f>
        <v>1016.0469000000001</v>
      </c>
      <c r="V1120" s="48">
        <f>ROUND((M1120*I1118+1.3*M1120*K1118+S1120*H1118),4)</f>
        <v>1126.3409999999999</v>
      </c>
      <c r="W1120" s="48">
        <f>ROUND((L1120*J1118+1.3*L1120*N1118+S1120*G1118),4)</f>
        <v>23.94</v>
      </c>
      <c r="X1120" s="48">
        <f>ROUND((M1120*0.9*J1118+1.3*M1120*0.9*N1118+S1120*G1118),4)</f>
        <v>26.154</v>
      </c>
      <c r="Y1120" s="48">
        <f>ROUND((M1120*J1118+1.3*M1120*N1118+S1120*G1118),4)</f>
        <v>28.8</v>
      </c>
      <c r="Z1120" s="49">
        <f>ROUND((P1118*T1120*F1118*O1118/1000000),4)</f>
        <v>0.1386</v>
      </c>
      <c r="AA1120" s="49">
        <f>ROUND((Q1118*U1120*F1118*O1118/1000000),4)</f>
        <v>1.52E-2</v>
      </c>
      <c r="AB1120" s="49">
        <f>ROUND((R1118*V1120*F1118*O1118/1000000),4)</f>
        <v>1.6899999999999998E-2</v>
      </c>
      <c r="AC1120" s="50" t="s">
        <v>203</v>
      </c>
      <c r="AD1120" s="51" t="s">
        <v>204</v>
      </c>
      <c r="AE1120" s="44">
        <f>ROUND((((X1120*E1118)/1800)),4)</f>
        <v>1.4500000000000001E-2</v>
      </c>
      <c r="AF1120" s="44">
        <f>ROUND(((Z1120+AA1120+AB1120)),5)</f>
        <v>0.17069999999999999</v>
      </c>
    </row>
    <row r="1121" spans="1:34" ht="12.95" customHeight="1" x14ac:dyDescent="0.25">
      <c r="A1121" s="52"/>
      <c r="B1121" s="88"/>
      <c r="C1121" s="52"/>
      <c r="D1121" s="52"/>
      <c r="E1121" s="52"/>
      <c r="F1121" s="52"/>
      <c r="G1121" s="52"/>
      <c r="H1121" s="52"/>
      <c r="I1121" s="52"/>
      <c r="J1121" s="52"/>
      <c r="K1121" s="52"/>
      <c r="L1121" s="59">
        <v>1.79</v>
      </c>
      <c r="M1121" s="59">
        <v>2.15</v>
      </c>
      <c r="N1121" s="52"/>
      <c r="O1121" s="52"/>
      <c r="P1121" s="52"/>
      <c r="Q1121" s="52"/>
      <c r="R1121" s="52"/>
      <c r="S1121" s="61">
        <v>1.24</v>
      </c>
      <c r="T1121" s="48">
        <f>ROUND((L1121*I1118+1.3*L1121*K1118+S1121*H1118),4)</f>
        <v>2088.9555</v>
      </c>
      <c r="U1121" s="48">
        <f>ROUND((M1121*0.9*I1118+1.3*M1121*0.9*K1118+S1121*H1118),4)</f>
        <v>2252.1457999999998</v>
      </c>
      <c r="V1121" s="48">
        <f>ROUND((M1121*I1118+1.3*M1121*K1118+S1121*H1118),4)</f>
        <v>2494.1174999999998</v>
      </c>
      <c r="W1121" s="48">
        <f>ROUND((L1121*J1118+1.3*L1121*N1118+S1121*G1118),4)</f>
        <v>55.77</v>
      </c>
      <c r="X1121" s="48">
        <f>ROUND((M1121*0.9*J1118+1.3*M1121*0.9*N1118+S1121*G1118),4)</f>
        <v>59.685000000000002</v>
      </c>
      <c r="Y1121" s="48">
        <f>ROUND((M1121*J1118+1.3*N1118+S1121*G1118),4)</f>
        <v>50.54</v>
      </c>
      <c r="Z1121" s="49">
        <f>ROUND((P1118*T1121*F1118*O1118/1000000),4)</f>
        <v>0.31330000000000002</v>
      </c>
      <c r="AA1121" s="49">
        <f>ROUND((Q1118*U1121*F1118*O1118/1000000),4)</f>
        <v>3.3799999999999997E-2</v>
      </c>
      <c r="AB1121" s="49">
        <f>ROUND((R1118*V1121*F1118*O1118/1000000),4)</f>
        <v>3.7400000000000003E-2</v>
      </c>
      <c r="AC1121" s="50" t="s">
        <v>205</v>
      </c>
      <c r="AD1121" s="51" t="s">
        <v>206</v>
      </c>
      <c r="AE1121" s="44">
        <f>ROUND((((X1121*E1118)/1800)),4)</f>
        <v>3.32E-2</v>
      </c>
      <c r="AF1121" s="44">
        <f>ROUND(((Z1121+AA1121+AB1121)),4)</f>
        <v>0.38450000000000001</v>
      </c>
    </row>
    <row r="1122" spans="1:34" ht="12.95" customHeight="1" x14ac:dyDescent="0.25">
      <c r="A1122" s="52"/>
      <c r="B1122" s="53"/>
      <c r="C1122" s="52"/>
      <c r="D1122" s="52"/>
      <c r="E1122" s="52"/>
      <c r="F1122" s="52"/>
      <c r="G1122" s="52"/>
      <c r="H1122" s="52"/>
      <c r="I1122" s="52"/>
      <c r="J1122" s="52"/>
      <c r="K1122" s="52"/>
      <c r="L1122" s="59">
        <v>1.1299999999999999</v>
      </c>
      <c r="M1122" s="59">
        <v>1.7</v>
      </c>
      <c r="N1122" s="52"/>
      <c r="O1122" s="52"/>
      <c r="P1122" s="52"/>
      <c r="Q1122" s="52"/>
      <c r="R1122" s="52"/>
      <c r="S1122" s="61">
        <v>0.26</v>
      </c>
      <c r="T1122" s="48">
        <f>ROUND((L1122*I1118+1.3*L1122*K1118+S1122*H1118),4)</f>
        <v>1287.3585</v>
      </c>
      <c r="U1122" s="48">
        <f>ROUND((M1122*0.9*I1118+1.3*M1122*0.9*K1118+S1122*H1118),4)</f>
        <v>1737.5385000000001</v>
      </c>
      <c r="V1122" s="48">
        <f>ROUND((M1122*I1118+1.3*M1122*K1118+S1122*H1118),4)</f>
        <v>1928.865</v>
      </c>
      <c r="W1122" s="48">
        <f>ROUND((L1122*J1118+1.3*L1122*N1118+S1122*G1118),4)</f>
        <v>32.07</v>
      </c>
      <c r="X1122" s="48">
        <f>ROUND((M1122*0.9*J1118+1.3*M1122*0.9*N1118+S1122*G1118),4)</f>
        <v>42.87</v>
      </c>
      <c r="Y1122" s="48">
        <f>ROUND((M1122*J1118+1.3*M1122*N1118+S1122*G1118),4)</f>
        <v>47.46</v>
      </c>
      <c r="Z1122" s="49">
        <f>ROUND((P1118*T1122*F1118*O1118/1000000),4)</f>
        <v>0.19309999999999999</v>
      </c>
      <c r="AA1122" s="49">
        <f>ROUND((Q1118*U1122*F1118*O1118/1000000),4)</f>
        <v>2.6100000000000002E-2</v>
      </c>
      <c r="AB1122" s="49">
        <f>ROUND((R1118*V1122*F1118*O1118/1000000),4)</f>
        <v>2.8899999999999999E-2</v>
      </c>
      <c r="AC1122" s="50" t="s">
        <v>250</v>
      </c>
      <c r="AD1122" s="51" t="s">
        <v>208</v>
      </c>
      <c r="AE1122" s="44">
        <f>ROUND((((X1122*E1118)/1800)),4)</f>
        <v>2.3800000000000002E-2</v>
      </c>
      <c r="AF1122" s="44">
        <f>ROUND(((Z1122+AA1122+AB1122)),4)</f>
        <v>0.24809999999999999</v>
      </c>
    </row>
    <row r="1123" spans="1:34" ht="12.95" customHeight="1" x14ac:dyDescent="0.25">
      <c r="A1123" s="52"/>
      <c r="B1123" s="62"/>
      <c r="C1123" s="56"/>
      <c r="D1123" s="56"/>
      <c r="E1123" s="56"/>
      <c r="F1123" s="56"/>
      <c r="G1123" s="56"/>
      <c r="H1123" s="56"/>
      <c r="I1123" s="56"/>
      <c r="J1123" s="56"/>
      <c r="K1123" s="56"/>
      <c r="L1123" s="59">
        <v>5.3</v>
      </c>
      <c r="M1123" s="59">
        <v>6.47</v>
      </c>
      <c r="N1123" s="56"/>
      <c r="O1123" s="56"/>
      <c r="P1123" s="56"/>
      <c r="Q1123" s="56"/>
      <c r="R1123" s="56"/>
      <c r="S1123" s="61">
        <v>9.92</v>
      </c>
      <c r="T1123" s="48">
        <f>ROUND((L1123*I1118+1.3*L1123*K1118+S1123*H1118),4)</f>
        <v>6560.085</v>
      </c>
      <c r="U1123" s="48">
        <f>ROUND((M1123*0.9*I1118+1.3*M1123*0.9*K1118+S1123*H1118),4)</f>
        <v>7148.6953999999996</v>
      </c>
      <c r="V1123" s="48">
        <f>ROUND((M1123*I1118+1.3*M1123*K1118+S1123*H1118),4)</f>
        <v>7876.8615</v>
      </c>
      <c r="W1123" s="48">
        <f>ROUND((L1123*J1118+1.3*L1123*N1118+S1123*G1118),4)</f>
        <v>202.62</v>
      </c>
      <c r="X1123" s="48">
        <f>ROUND((M1123*0.9*J1118+1.3*M1123*0.9*N1118+S1123*G1118),4)</f>
        <v>216.74100000000001</v>
      </c>
      <c r="Y1123" s="48">
        <f>ROUND((M1123*J1118+1.3*M1123*N1118+S1123*G1118),4)</f>
        <v>234.21</v>
      </c>
      <c r="Z1123" s="49">
        <f>ROUND((P1118*T1123*F1118*O1118/1000000),4)</f>
        <v>0.98399999999999999</v>
      </c>
      <c r="AA1123" s="49">
        <f>ROUND((Q1118*U1123*F1118*O1118/1000000),4)</f>
        <v>0.1072</v>
      </c>
      <c r="AB1123" s="49">
        <f>ROUND((R1118*V1123*F1118*O1118/1000000),4)</f>
        <v>0.1182</v>
      </c>
      <c r="AC1123" s="50" t="s">
        <v>170</v>
      </c>
      <c r="AD1123" s="51" t="s">
        <v>162</v>
      </c>
      <c r="AE1123" s="44">
        <f>ROUND((((X1123*E1118)/1800)),4)</f>
        <v>0.12039999999999999</v>
      </c>
      <c r="AF1123" s="44">
        <f>ROUND(((Z1123+AA1123+AB1123)),4)</f>
        <v>1.2094</v>
      </c>
    </row>
    <row r="1124" spans="1:34" ht="12.95" customHeight="1" x14ac:dyDescent="0.25">
      <c r="A1124" s="52"/>
      <c r="B1124" s="67" t="s">
        <v>220</v>
      </c>
      <c r="C1124" s="46">
        <v>7</v>
      </c>
      <c r="D1124" s="45" t="s">
        <v>217</v>
      </c>
      <c r="E1124" s="45">
        <v>1</v>
      </c>
      <c r="F1124" s="45">
        <v>2</v>
      </c>
      <c r="G1124" s="45">
        <v>6</v>
      </c>
      <c r="H1124" s="45">
        <v>60</v>
      </c>
      <c r="I1124" s="45">
        <f>(8-1-0.75*2)*60*F1124-K1124-8*0.12*60</f>
        <v>173.4</v>
      </c>
      <c r="J1124" s="45">
        <v>14</v>
      </c>
      <c r="K1124" s="45">
        <f>(8-1-0.75*2)*0.65*60*F1124</f>
        <v>429</v>
      </c>
      <c r="L1124" s="48">
        <v>10.16</v>
      </c>
      <c r="M1124" s="48">
        <v>10.16</v>
      </c>
      <c r="N1124" s="45">
        <v>10</v>
      </c>
      <c r="O1124" s="45">
        <f>E1124/F1124</f>
        <v>0.5</v>
      </c>
      <c r="P1124" s="45">
        <v>150</v>
      </c>
      <c r="Q1124" s="45">
        <v>15</v>
      </c>
      <c r="R1124" s="47">
        <v>15</v>
      </c>
      <c r="S1124" s="47">
        <v>1.99</v>
      </c>
      <c r="T1124" s="48">
        <f>ROUND((L1124*I1124+1.3*L1124*K1124+S1124*H1124),4)</f>
        <v>7547.3760000000002</v>
      </c>
      <c r="U1124" s="48">
        <f>ROUND((M1124*I1124+1.3*M1124*K1124+S1124*H1124),4)</f>
        <v>7547.3760000000002</v>
      </c>
      <c r="V1124" s="48">
        <f>ROUND((M1124*I1124+1.3*M1124*K1124+S1124*H1124),4)</f>
        <v>7547.3760000000002</v>
      </c>
      <c r="W1124" s="48">
        <f>ROUND((L1124*J1124+1.3*L1124*N1124+S1124*G1124),4)</f>
        <v>286.26</v>
      </c>
      <c r="X1124" s="48">
        <f>ROUND((M1124*J1124+1.3*M1124*N1124+S1124*G1124),4)</f>
        <v>286.26</v>
      </c>
      <c r="Y1124" s="48">
        <f>ROUND((M1124*J1124+1.3*M1124*N1124+S1124*G1124),4)</f>
        <v>286.26</v>
      </c>
      <c r="Z1124" s="49">
        <f>ROUND((P1124*T1124*F1124*O1124/1000000),4)</f>
        <v>1.1321000000000001</v>
      </c>
      <c r="AA1124" s="49">
        <f>ROUND((Q1124*U1124*F1124*O1124/1000000),4)</f>
        <v>0.1132</v>
      </c>
      <c r="AB1124" s="49">
        <f>ROUND((R1124*V1124*F1124*O1124/1000000),4)</f>
        <v>0.1132</v>
      </c>
      <c r="AC1124" s="50" t="s">
        <v>200</v>
      </c>
      <c r="AD1124" s="51" t="s">
        <v>153</v>
      </c>
      <c r="AE1124" s="44">
        <f>ROUND((((X1124*E1124)/1800)*0.8),4)</f>
        <v>0.12720000000000001</v>
      </c>
      <c r="AF1124" s="44">
        <f>ROUND(((Z1124+AA1124+AB1124)*0.8),4)</f>
        <v>1.0868</v>
      </c>
    </row>
    <row r="1125" spans="1:34" ht="12.95" customHeight="1" x14ac:dyDescent="0.25">
      <c r="A1125" s="52"/>
      <c r="B1125" s="53" t="s">
        <v>222</v>
      </c>
      <c r="C1125" s="52"/>
      <c r="D1125" s="52"/>
      <c r="E1125" s="52"/>
      <c r="F1125" s="52"/>
      <c r="G1125" s="52"/>
      <c r="H1125" s="52"/>
      <c r="I1125" s="52"/>
      <c r="J1125" s="52"/>
      <c r="K1125" s="52"/>
      <c r="L1125" s="56"/>
      <c r="M1125" s="56"/>
      <c r="N1125" s="52"/>
      <c r="O1125" s="52"/>
      <c r="P1125" s="52"/>
      <c r="Q1125" s="52"/>
      <c r="R1125" s="52"/>
      <c r="S1125" s="57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0" t="s">
        <v>201</v>
      </c>
      <c r="AD1125" s="51" t="s">
        <v>202</v>
      </c>
      <c r="AE1125" s="44">
        <f>ROUND((((X1124*E1124)/1800)*0.13),4)</f>
        <v>2.07E-2</v>
      </c>
      <c r="AF1125" s="44">
        <f>ROUND(((Z1124+AA1124+AB1124)*0.13),4)</f>
        <v>0.17660000000000001</v>
      </c>
    </row>
    <row r="1126" spans="1:34" ht="12.95" customHeight="1" x14ac:dyDescent="0.25">
      <c r="A1126" s="52"/>
      <c r="B1126" s="88"/>
      <c r="C1126" s="55"/>
      <c r="D1126" s="55"/>
      <c r="E1126" s="52"/>
      <c r="F1126" s="63"/>
      <c r="G1126" s="52"/>
      <c r="H1126" s="52"/>
      <c r="I1126" s="52"/>
      <c r="J1126" s="52"/>
      <c r="K1126" s="52"/>
      <c r="L1126" s="59">
        <v>0.8</v>
      </c>
      <c r="M1126" s="59">
        <v>0.98</v>
      </c>
      <c r="N1126" s="52"/>
      <c r="O1126" s="52"/>
      <c r="P1126" s="52"/>
      <c r="Q1126" s="52"/>
      <c r="R1126" s="52"/>
      <c r="S1126" s="60">
        <v>0.39</v>
      </c>
      <c r="T1126" s="48">
        <f>ROUND((L1126*I1124+1.3*L1126*K1124+S1126*H1124),4)</f>
        <v>608.28</v>
      </c>
      <c r="U1126" s="48">
        <f>ROUND((M1126*0.9*I1124+1.3*M1126*0.9*K1124+S1126*H1124),4)</f>
        <v>668.23019999999997</v>
      </c>
      <c r="V1126" s="48">
        <f>ROUND((M1126*I1124+1.3*M1126*K1124+S1126*H1124),4)</f>
        <v>739.87800000000004</v>
      </c>
      <c r="W1126" s="48">
        <f>ROUND((L1126*J1124+1.3*L1126*N1124+S1126*G1124),4)</f>
        <v>23.94</v>
      </c>
      <c r="X1126" s="48">
        <f>ROUND((M1126*0.9*J1124+1.3*M1126*0.9*N1124+S1126*G1124),4)</f>
        <v>26.154</v>
      </c>
      <c r="Y1126" s="48">
        <f>ROUND((M1126*J1124+1.3*M1126*N1124+S1126*G1124),4)</f>
        <v>28.8</v>
      </c>
      <c r="Z1126" s="49">
        <f>ROUND((P1124*T1126*F1124*O1124/1000000),4)</f>
        <v>9.1200000000000003E-2</v>
      </c>
      <c r="AA1126" s="49">
        <f>ROUND((Q1124*U1126*F1124*O1124/1000000),4)</f>
        <v>0.01</v>
      </c>
      <c r="AB1126" s="49">
        <f>ROUND((R1124*V1126*F1124*O1124/1000000),4)</f>
        <v>1.11E-2</v>
      </c>
      <c r="AC1126" s="50" t="s">
        <v>203</v>
      </c>
      <c r="AD1126" s="51" t="s">
        <v>204</v>
      </c>
      <c r="AE1126" s="44">
        <f>ROUND((((X1126*E1124)/1800)),4)</f>
        <v>1.4500000000000001E-2</v>
      </c>
      <c r="AF1126" s="44">
        <f>ROUND(((Z1126+AA1126+AB1126)),5)</f>
        <v>0.1123</v>
      </c>
    </row>
    <row r="1127" spans="1:34" ht="12.95" customHeight="1" x14ac:dyDescent="0.25">
      <c r="A1127" s="52"/>
      <c r="B1127" s="88"/>
      <c r="C1127" s="52"/>
      <c r="D1127" s="52"/>
      <c r="E1127" s="52"/>
      <c r="F1127" s="63"/>
      <c r="G1127" s="52"/>
      <c r="H1127" s="52"/>
      <c r="I1127" s="52"/>
      <c r="J1127" s="52"/>
      <c r="K1127" s="52"/>
      <c r="L1127" s="59">
        <v>1.79</v>
      </c>
      <c r="M1127" s="59">
        <v>2.15</v>
      </c>
      <c r="N1127" s="52"/>
      <c r="O1127" s="52"/>
      <c r="P1127" s="52"/>
      <c r="Q1127" s="52"/>
      <c r="R1127" s="52"/>
      <c r="S1127" s="61">
        <v>1.24</v>
      </c>
      <c r="T1127" s="48">
        <f>ROUND((L1127*I1124+1.3*L1127*K1124+S1127*H1124),4)</f>
        <v>1383.069</v>
      </c>
      <c r="U1127" s="48">
        <f>ROUND((M1127*0.9*I1124+1.3*M1127*0.9*K1124+S1127*H1124),4)</f>
        <v>1489.0785000000001</v>
      </c>
      <c r="V1127" s="48">
        <f>ROUND((M1127*I1124+1.3*M1127*K1124+S1127*H1124),4)</f>
        <v>1646.2650000000001</v>
      </c>
      <c r="W1127" s="48">
        <f>ROUND((L1127*J1124+1.3*L1127*N1124+S1127*G1124),4)</f>
        <v>55.77</v>
      </c>
      <c r="X1127" s="48">
        <f>ROUND((M1127*0.9*J1124+1.3*M1127*0.9*N1124+S1127*G1124),4)</f>
        <v>59.685000000000002</v>
      </c>
      <c r="Y1127" s="48">
        <f>ROUND((M1127*J1124+1.3*N1124+S1127*G1124),4)</f>
        <v>50.54</v>
      </c>
      <c r="Z1127" s="49">
        <f>ROUND((P1124*T1127*F1124*O1124/1000000),4)</f>
        <v>0.20749999999999999</v>
      </c>
      <c r="AA1127" s="49">
        <f>ROUND((Q1124*U1127*F1124*O1124/1000000),4)</f>
        <v>2.23E-2</v>
      </c>
      <c r="AB1127" s="49">
        <f>ROUND((R1124*V1127*F1124*O1124/1000000),4)</f>
        <v>2.47E-2</v>
      </c>
      <c r="AC1127" s="50" t="s">
        <v>205</v>
      </c>
      <c r="AD1127" s="51" t="s">
        <v>206</v>
      </c>
      <c r="AE1127" s="44">
        <f>ROUND((((X1127*E1124)/1800)),4)</f>
        <v>3.32E-2</v>
      </c>
      <c r="AF1127" s="44">
        <f>ROUND(((Z1127+AA1127+AB1127)),4)</f>
        <v>0.2545</v>
      </c>
    </row>
    <row r="1128" spans="1:34" ht="12.95" customHeight="1" x14ac:dyDescent="0.25">
      <c r="A1128" s="52"/>
      <c r="B1128" s="53"/>
      <c r="C1128" s="52"/>
      <c r="D1128" s="52"/>
      <c r="E1128" s="52"/>
      <c r="F1128" s="63"/>
      <c r="G1128" s="52"/>
      <c r="H1128" s="52"/>
      <c r="I1128" s="52"/>
      <c r="J1128" s="52"/>
      <c r="K1128" s="52"/>
      <c r="L1128" s="59">
        <v>1.1299999999999999</v>
      </c>
      <c r="M1128" s="59">
        <v>1.7</v>
      </c>
      <c r="N1128" s="52"/>
      <c r="O1128" s="52"/>
      <c r="P1128" s="52"/>
      <c r="Q1128" s="52"/>
      <c r="R1128" s="52"/>
      <c r="S1128" s="61">
        <v>0.26</v>
      </c>
      <c r="T1128" s="48">
        <f>ROUND((L1128*I1124+1.3*L1128*K1124+S1128*H1124),4)</f>
        <v>841.74300000000005</v>
      </c>
      <c r="U1128" s="48">
        <f>ROUND((M1128*0.9*I1124+1.3*M1128*0.9*K1124+S1128*H1124),4)</f>
        <v>1134.183</v>
      </c>
      <c r="V1128" s="48">
        <f>ROUND((M1128*I1124+1.3*M1128*K1124+S1128*H1124),4)</f>
        <v>1258.47</v>
      </c>
      <c r="W1128" s="48">
        <f>ROUND((L1128*J1124+1.3*L1128*N1124+S1128*G1124),4)</f>
        <v>32.07</v>
      </c>
      <c r="X1128" s="48">
        <f>ROUND((M1128*0.9*J1124+1.3*M1128*0.9*N1124+S1128*G1124),4)</f>
        <v>42.87</v>
      </c>
      <c r="Y1128" s="48">
        <f>ROUND((M1128*J1124+1.3*M1128*N1124+S1128*G1124),4)</f>
        <v>47.46</v>
      </c>
      <c r="Z1128" s="49">
        <f>ROUND((P1124*T1128*F1124*O1124/1000000),4)</f>
        <v>0.1263</v>
      </c>
      <c r="AA1128" s="49">
        <f>ROUND((Q1124*U1128*F1124*O1124/1000000),4)</f>
        <v>1.7000000000000001E-2</v>
      </c>
      <c r="AB1128" s="49">
        <f>ROUND((R1124*V1128*F1124*O1124/1000000),4)</f>
        <v>1.89E-2</v>
      </c>
      <c r="AC1128" s="50" t="s">
        <v>250</v>
      </c>
      <c r="AD1128" s="51" t="s">
        <v>208</v>
      </c>
      <c r="AE1128" s="44">
        <f>ROUND((((X1128*E1124)/1800)),4)</f>
        <v>2.3800000000000002E-2</v>
      </c>
      <c r="AF1128" s="44">
        <f>ROUND(((Z1128+AA1128+AB1128)),4)</f>
        <v>0.16220000000000001</v>
      </c>
    </row>
    <row r="1129" spans="1:34" ht="12.95" customHeight="1" x14ac:dyDescent="0.25">
      <c r="A1129" s="52"/>
      <c r="B1129" s="62"/>
      <c r="C1129" s="56"/>
      <c r="D1129" s="56"/>
      <c r="E1129" s="56"/>
      <c r="F1129" s="66"/>
      <c r="G1129" s="56"/>
      <c r="H1129" s="56"/>
      <c r="I1129" s="56"/>
      <c r="J1129" s="56"/>
      <c r="K1129" s="56"/>
      <c r="L1129" s="59">
        <v>5.3</v>
      </c>
      <c r="M1129" s="59">
        <v>6.47</v>
      </c>
      <c r="N1129" s="56"/>
      <c r="O1129" s="56"/>
      <c r="P1129" s="56"/>
      <c r="Q1129" s="56"/>
      <c r="R1129" s="56"/>
      <c r="S1129" s="61">
        <v>9.92</v>
      </c>
      <c r="T1129" s="48">
        <f>ROUND((L1129*I1124+1.3*L1129*K1124+S1129*H1124),4)</f>
        <v>4470.03</v>
      </c>
      <c r="U1129" s="48">
        <f>ROUND((M1129*0.9*I1124+1.3*M1129*0.9*K1124+S1129*H1124),4)</f>
        <v>4852.3953000000001</v>
      </c>
      <c r="V1129" s="48">
        <f>ROUND((M1129*I1124+1.3*M1129*K1124+S1129*H1124),4)</f>
        <v>5325.4170000000004</v>
      </c>
      <c r="W1129" s="48">
        <f>ROUND((L1129*J1124+1.3*L1129*N1124+S1129*G1124),4)</f>
        <v>202.62</v>
      </c>
      <c r="X1129" s="48">
        <f>ROUND((M1129*0.9*J1124+1.3*M1129*0.9*N1124+S1129*G1124),4)</f>
        <v>216.74100000000001</v>
      </c>
      <c r="Y1129" s="48">
        <f>ROUND((M1129*J1124+1.3*M1129*N1124+S1129*G1124),4)</f>
        <v>234.21</v>
      </c>
      <c r="Z1129" s="49">
        <f>ROUND((P1124*T1129*F1124*O1124/1000000),4)</f>
        <v>0.67049999999999998</v>
      </c>
      <c r="AA1129" s="49">
        <f>ROUND((Q1124*U1129*F1124*O1124/1000000),4)</f>
        <v>7.2800000000000004E-2</v>
      </c>
      <c r="AB1129" s="49">
        <f>ROUND((R1124*V1129*F1124*O1124/1000000),4)</f>
        <v>7.9899999999999999E-2</v>
      </c>
      <c r="AC1129" s="50" t="s">
        <v>170</v>
      </c>
      <c r="AD1129" s="51" t="s">
        <v>162</v>
      </c>
      <c r="AE1129" s="44">
        <f>ROUND((((X1129*E1124)/1800)),4)</f>
        <v>0.12039999999999999</v>
      </c>
      <c r="AF1129" s="44">
        <f>ROUND(((Z1129+AA1129+AB1129)),4)</f>
        <v>0.82320000000000004</v>
      </c>
    </row>
    <row r="1130" spans="1:34" ht="12.95" customHeight="1" x14ac:dyDescent="0.25">
      <c r="A1130" s="52"/>
      <c r="B1130" s="67" t="s">
        <v>223</v>
      </c>
      <c r="C1130" s="46">
        <v>1</v>
      </c>
      <c r="D1130" s="45" t="s">
        <v>225</v>
      </c>
      <c r="E1130" s="45">
        <v>1</v>
      </c>
      <c r="F1130" s="45">
        <v>1</v>
      </c>
      <c r="G1130" s="45">
        <v>6</v>
      </c>
      <c r="H1130" s="45">
        <v>60</v>
      </c>
      <c r="I1130" s="45">
        <f>(8-1-0.75*2)*60*F1130-K1130-8*0.12*60</f>
        <v>57.900000000000006</v>
      </c>
      <c r="J1130" s="45">
        <v>14</v>
      </c>
      <c r="K1130" s="45">
        <f>(8-1-0.75*2)*0.65*60*F1130</f>
        <v>214.5</v>
      </c>
      <c r="L1130" s="48">
        <v>0.47</v>
      </c>
      <c r="M1130" s="48">
        <v>0.47</v>
      </c>
      <c r="N1130" s="45">
        <v>10</v>
      </c>
      <c r="O1130" s="45">
        <f>E1130/F1130</f>
        <v>1</v>
      </c>
      <c r="P1130" s="45">
        <v>180</v>
      </c>
      <c r="Q1130" s="45">
        <v>30</v>
      </c>
      <c r="R1130" s="47">
        <v>0</v>
      </c>
      <c r="S1130" s="47">
        <v>0.09</v>
      </c>
      <c r="T1130" s="48">
        <f>ROUND((L1130*I1130+1.3*L1130*K1130+S1130*H1130),4)</f>
        <v>163.67250000000001</v>
      </c>
      <c r="U1130" s="48">
        <f>ROUND((M1130*I1130+1.3*M1130*K1130+S1130*H1130),4)</f>
        <v>163.67250000000001</v>
      </c>
      <c r="V1130" s="48">
        <f>ROUND((M1130*I1130+1.3*M1130*K1130+S1130*H1130),4)</f>
        <v>163.67250000000001</v>
      </c>
      <c r="W1130" s="48">
        <f>ROUND((L1130*J1130+1.3*L1130*N1130+S1130*G1130),4)</f>
        <v>13.23</v>
      </c>
      <c r="X1130" s="48">
        <f>ROUND((M1130*J1130+1.3*M1130*N1130+S1130*G1130),4)</f>
        <v>13.23</v>
      </c>
      <c r="Y1130" s="48">
        <f>ROUND((M1130*J1130+1.3*M1130*N1130+S1130*G1130),4)</f>
        <v>13.23</v>
      </c>
      <c r="Z1130" s="49">
        <f>ROUND((P1130*T1130*F1130*O1130/1000000),4)</f>
        <v>2.9499999999999998E-2</v>
      </c>
      <c r="AA1130" s="49">
        <f>ROUND((Q1130*U1130*F1130*O1130/1000000),4)</f>
        <v>4.8999999999999998E-3</v>
      </c>
      <c r="AB1130" s="49">
        <f>ROUND((R1130*V1130*F1130*O1130/1000000),4)</f>
        <v>0</v>
      </c>
      <c r="AC1130" s="50" t="s">
        <v>200</v>
      </c>
      <c r="AD1130" s="51" t="s">
        <v>153</v>
      </c>
      <c r="AE1130" s="44">
        <f>ROUND((((X1130*E1130)/1800)*0.8),4)</f>
        <v>5.8999999999999999E-3</v>
      </c>
      <c r="AF1130" s="44">
        <f>ROUND(((Z1130+AA1130+AB1130)*0.8),4)</f>
        <v>2.75E-2</v>
      </c>
      <c r="AG1130" s="88"/>
      <c r="AH1130" s="88"/>
    </row>
    <row r="1131" spans="1:34" ht="12.95" customHeight="1" x14ac:dyDescent="0.25">
      <c r="A1131" s="52"/>
      <c r="B1131" s="53" t="s">
        <v>224</v>
      </c>
      <c r="C1131" s="52"/>
      <c r="D1131" s="52"/>
      <c r="E1131" s="52"/>
      <c r="F1131" s="63"/>
      <c r="G1131" s="52"/>
      <c r="H1131" s="52"/>
      <c r="I1131" s="52"/>
      <c r="J1131" s="52"/>
      <c r="K1131" s="52"/>
      <c r="L1131" s="56"/>
      <c r="M1131" s="56"/>
      <c r="N1131" s="52"/>
      <c r="O1131" s="52"/>
      <c r="P1131" s="52"/>
      <c r="Q1131" s="52"/>
      <c r="R1131" s="52"/>
      <c r="S1131" s="57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0" t="s">
        <v>201</v>
      </c>
      <c r="AD1131" s="51" t="s">
        <v>202</v>
      </c>
      <c r="AE1131" s="44">
        <f>ROUND((((X1130*E1130)/1800)*0.13),4)</f>
        <v>1E-3</v>
      </c>
      <c r="AF1131" s="44">
        <f>ROUND(((Z1130+AA1130+AB1130)*0.13),4)</f>
        <v>4.4999999999999997E-3</v>
      </c>
      <c r="AG1131" s="88"/>
      <c r="AH1131" s="88"/>
    </row>
    <row r="1132" spans="1:34" ht="12.95" customHeight="1" x14ac:dyDescent="0.25">
      <c r="A1132" s="52"/>
      <c r="B1132" s="88"/>
      <c r="C1132" s="55"/>
      <c r="D1132" s="55"/>
      <c r="E1132" s="52"/>
      <c r="F1132" s="63"/>
      <c r="G1132" s="52"/>
      <c r="H1132" s="52"/>
      <c r="I1132" s="52"/>
      <c r="J1132" s="52"/>
      <c r="K1132" s="52"/>
      <c r="L1132" s="59">
        <v>0.8</v>
      </c>
      <c r="M1132" s="59">
        <v>0.98</v>
      </c>
      <c r="N1132" s="52"/>
      <c r="O1132" s="52"/>
      <c r="P1132" s="52"/>
      <c r="Q1132" s="52"/>
      <c r="R1132" s="52"/>
      <c r="S1132" s="60">
        <v>1.7999999999999999E-2</v>
      </c>
      <c r="T1132" s="48">
        <f>ROUND((L1132*I1130+1.3*L1132*K1130+S1132*H1130),4)</f>
        <v>270.48</v>
      </c>
      <c r="U1132" s="48">
        <f>ROUND((M1132*0.9*I1130+1.3*M1132*0.9*K1130+S1132*H1130),4)</f>
        <v>298.09350000000001</v>
      </c>
      <c r="V1132" s="48">
        <f>ROUND((M1132*I1130+1.3*M1132*K1130+S1132*H1130),4)</f>
        <v>331.09500000000003</v>
      </c>
      <c r="W1132" s="48">
        <f>ROUND((L1132*J1130+1.3*L1132*N1130+S1132*G1130),4)</f>
        <v>21.707999999999998</v>
      </c>
      <c r="X1132" s="48">
        <f>ROUND((M1132*0.9*J1130+1.3*M1132*0.9*N1130+S1132*G1130),4)</f>
        <v>23.922000000000001</v>
      </c>
      <c r="Y1132" s="48">
        <f>ROUND((M1132*J1130+1.3*M1132*N1130+S1132*G1130),4)</f>
        <v>26.568000000000001</v>
      </c>
      <c r="Z1132" s="49">
        <f>ROUND((P1130*T1132*F1130*O1130/1000000),4)</f>
        <v>4.87E-2</v>
      </c>
      <c r="AA1132" s="49">
        <f>ROUND((Q1130*U1132*F1130*O1130/1000000),4)</f>
        <v>8.8999999999999999E-3</v>
      </c>
      <c r="AB1132" s="49">
        <f>ROUND((R1130*V1132*F1130*O1130/1000000),4)</f>
        <v>0</v>
      </c>
      <c r="AC1132" s="50" t="s">
        <v>203</v>
      </c>
      <c r="AD1132" s="51" t="s">
        <v>204</v>
      </c>
      <c r="AE1132" s="44">
        <f>ROUND((((X1132*E1130)/1800)),4)</f>
        <v>1.3299999999999999E-2</v>
      </c>
      <c r="AF1132" s="44">
        <f>ROUND(((Z1132+AA1132+AB1132)),5)</f>
        <v>5.7599999999999998E-2</v>
      </c>
      <c r="AG1132" s="88"/>
      <c r="AH1132" s="88"/>
    </row>
    <row r="1133" spans="1:34" ht="12.95" customHeight="1" x14ac:dyDescent="0.25">
      <c r="A1133" s="52"/>
      <c r="B1133" s="88"/>
      <c r="C1133" s="52"/>
      <c r="D1133" s="52"/>
      <c r="E1133" s="52"/>
      <c r="F1133" s="63"/>
      <c r="G1133" s="52"/>
      <c r="H1133" s="52"/>
      <c r="I1133" s="52"/>
      <c r="J1133" s="52"/>
      <c r="K1133" s="52"/>
      <c r="L1133" s="59">
        <v>0.08</v>
      </c>
      <c r="M1133" s="59">
        <v>0.1</v>
      </c>
      <c r="N1133" s="52"/>
      <c r="O1133" s="52"/>
      <c r="P1133" s="52"/>
      <c r="Q1133" s="52"/>
      <c r="R1133" s="52"/>
      <c r="S1133" s="61">
        <v>0.06</v>
      </c>
      <c r="T1133" s="48">
        <f>ROUND((L1133*I1130+1.3*L1133*K1130+S1133*H1130),4)</f>
        <v>30.54</v>
      </c>
      <c r="U1133" s="48">
        <f>ROUND((M1133*0.9*I1130+1.3*M1133*0.9*K1130+S1133*H1130),4)</f>
        <v>33.907499999999999</v>
      </c>
      <c r="V1133" s="48">
        <f>ROUND((M1133*I1130+1.3*M1133*K1130+S1133*H1130),4)</f>
        <v>37.274999999999999</v>
      </c>
      <c r="W1133" s="48">
        <f>ROUND((L1133*J1130+1.3*L1133*N1130+S1133*G1130),4)</f>
        <v>2.52</v>
      </c>
      <c r="X1133" s="48">
        <f>ROUND((M1133*0.9*J1130+1.3*M1133*0.9*N1130+S1133*G1130),4)</f>
        <v>2.79</v>
      </c>
      <c r="Y1133" s="48">
        <f>ROUND((M1133*J1130+1.3*N1130+S1133*G1130),4)</f>
        <v>14.76</v>
      </c>
      <c r="Z1133" s="49">
        <f>ROUND((P1130*T1133*F1130*O1130/1000000),4)</f>
        <v>5.4999999999999997E-3</v>
      </c>
      <c r="AA1133" s="49">
        <f>ROUND((Q1130*U1133*F1130*O1130/1000000),4)</f>
        <v>1E-3</v>
      </c>
      <c r="AB1133" s="49">
        <f>ROUND((R1130*V1133*F1130*O1130/1000000),4)</f>
        <v>0</v>
      </c>
      <c r="AC1133" s="50" t="s">
        <v>205</v>
      </c>
      <c r="AD1133" s="51" t="s">
        <v>206</v>
      </c>
      <c r="AE1133" s="44">
        <f>ROUND((((X1133*E1130)/1800)),4)</f>
        <v>1.6000000000000001E-3</v>
      </c>
      <c r="AF1133" s="44">
        <f>ROUND(((Z1133+AA1133+AB1133)),4)</f>
        <v>6.4999999999999997E-3</v>
      </c>
      <c r="AG1133" s="88"/>
      <c r="AH1133" s="88"/>
    </row>
    <row r="1134" spans="1:34" ht="12.95" customHeight="1" x14ac:dyDescent="0.25">
      <c r="A1134" s="52"/>
      <c r="B1134" s="53"/>
      <c r="C1134" s="52"/>
      <c r="D1134" s="52"/>
      <c r="E1134" s="52"/>
      <c r="F1134" s="63"/>
      <c r="G1134" s="52"/>
      <c r="H1134" s="52"/>
      <c r="I1134" s="52"/>
      <c r="J1134" s="52"/>
      <c r="K1134" s="52"/>
      <c r="L1134" s="59">
        <v>0.05</v>
      </c>
      <c r="M1134" s="59">
        <v>7.0000000000000007E-2</v>
      </c>
      <c r="N1134" s="52"/>
      <c r="O1134" s="52"/>
      <c r="P1134" s="52"/>
      <c r="Q1134" s="52"/>
      <c r="R1134" s="52"/>
      <c r="S1134" s="61">
        <v>0.01</v>
      </c>
      <c r="T1134" s="48">
        <f>ROUND((L1134*I1130+1.3*L1134*K1130+S1134*H1130),4)</f>
        <v>17.4375</v>
      </c>
      <c r="U1134" s="48">
        <f>ROUND((M1134*0.9*I1130+1.3*M1134*0.9*K1130+S1134*H1130),4)</f>
        <v>21.815300000000001</v>
      </c>
      <c r="V1134" s="48">
        <f>ROUND((M1134*I1130+1.3*M1134*K1130+S1134*H1130),4)</f>
        <v>24.172499999999999</v>
      </c>
      <c r="W1134" s="48">
        <f>ROUND((L1134*J1130+1.3*L1134*N1130+S1134*G1130),4)</f>
        <v>1.41</v>
      </c>
      <c r="X1134" s="48">
        <f>ROUND((M1134*0.9*J1130+1.3*M1134*0.9*N1130+S1134*G1130),4)</f>
        <v>1.7609999999999999</v>
      </c>
      <c r="Y1134" s="48">
        <f>ROUND((M1134*J1130+1.3*M1134*N1130+S1134*G1130),4)</f>
        <v>1.95</v>
      </c>
      <c r="Z1134" s="49">
        <f>ROUND((P1130*T1134*F1130*O1130/1000000),4)</f>
        <v>3.0999999999999999E-3</v>
      </c>
      <c r="AA1134" s="49">
        <f>ROUND((Q1130*U1134*F1130*O1130/1000000),4)</f>
        <v>6.9999999999999999E-4</v>
      </c>
      <c r="AB1134" s="49">
        <f>ROUND((R1130*V1134*F1130*O1130/1000000),4)</f>
        <v>0</v>
      </c>
      <c r="AC1134" s="50" t="s">
        <v>250</v>
      </c>
      <c r="AD1134" s="51" t="s">
        <v>208</v>
      </c>
      <c r="AE1134" s="44">
        <f>ROUND((((X1134*E1130)/1800)),4)</f>
        <v>1E-3</v>
      </c>
      <c r="AF1134" s="44">
        <f>ROUND(((Z1134+AA1134+AB1134)),4)</f>
        <v>3.8E-3</v>
      </c>
      <c r="AG1134" s="88"/>
      <c r="AH1134" s="88"/>
    </row>
    <row r="1135" spans="1:34" ht="12.95" customHeight="1" x14ac:dyDescent="0.25">
      <c r="A1135" s="52"/>
      <c r="B1135" s="62"/>
      <c r="C1135" s="56"/>
      <c r="D1135" s="56"/>
      <c r="E1135" s="56"/>
      <c r="F1135" s="66"/>
      <c r="G1135" s="56"/>
      <c r="H1135" s="56"/>
      <c r="I1135" s="56"/>
      <c r="J1135" s="56"/>
      <c r="K1135" s="56"/>
      <c r="L1135" s="59">
        <v>3.5999999999999997E-2</v>
      </c>
      <c r="M1135" s="59">
        <v>4.3999999999999997E-2</v>
      </c>
      <c r="N1135" s="56"/>
      <c r="O1135" s="56"/>
      <c r="P1135" s="56"/>
      <c r="Q1135" s="56"/>
      <c r="R1135" s="56"/>
      <c r="S1135" s="61">
        <v>0.45</v>
      </c>
      <c r="T1135" s="48">
        <f>ROUND((L1135*I1130+1.3*L1135*K1130+S1135*H1130),4)</f>
        <v>39.122999999999998</v>
      </c>
      <c r="U1135" s="48">
        <f>ROUND((M1135*0.9*I1130+1.3*M1135*0.9*K1130+S1135*H1130),4)</f>
        <v>40.335299999999997</v>
      </c>
      <c r="V1135" s="48">
        <f>ROUND((M1135*I1130+1.3*M1135*K1130+S1135*H1130),4)</f>
        <v>41.817</v>
      </c>
      <c r="W1135" s="48">
        <f>ROUND((L1135*J1130+1.3*L1135*N1130+S1135*G1130),4)</f>
        <v>3.6720000000000002</v>
      </c>
      <c r="X1135" s="48">
        <f>ROUND((M1135*0.9*J1130+1.3*M1135*0.9*N1130+S1135*G1130),4)</f>
        <v>3.7692000000000001</v>
      </c>
      <c r="Y1135" s="48">
        <f>ROUND((M1135*J1130+1.3*M1135*N1130+S1135*G1130),4)</f>
        <v>3.8879999999999999</v>
      </c>
      <c r="Z1135" s="49">
        <f>ROUND((P1130*T1135*F1130*O1130/1000000),4)</f>
        <v>7.0000000000000001E-3</v>
      </c>
      <c r="AA1135" s="49">
        <f>ROUND((Q1130*U1135*F1130*O1130/1000000),4)</f>
        <v>1.1999999999999999E-3</v>
      </c>
      <c r="AB1135" s="49">
        <f>ROUND((R1130*V1135*F1130*O1130/1000000),4)</f>
        <v>0</v>
      </c>
      <c r="AC1135" s="50" t="s">
        <v>170</v>
      </c>
      <c r="AD1135" s="51" t="s">
        <v>162</v>
      </c>
      <c r="AE1135" s="44">
        <f>ROUND((((X1135*E1130)/1800)),4)</f>
        <v>2.0999999999999999E-3</v>
      </c>
      <c r="AF1135" s="44">
        <f>ROUND(((Z1135+AA1135+AB1135)),4)</f>
        <v>8.2000000000000007E-3</v>
      </c>
      <c r="AG1135" s="88"/>
      <c r="AH1135" s="88"/>
    </row>
    <row r="1136" spans="1:34" ht="12.95" customHeight="1" x14ac:dyDescent="0.25">
      <c r="A1136" s="52"/>
      <c r="B1136" s="67" t="s">
        <v>242</v>
      </c>
      <c r="C1136" s="46">
        <v>3</v>
      </c>
      <c r="D1136" s="45" t="s">
        <v>228</v>
      </c>
      <c r="E1136" s="45">
        <v>1</v>
      </c>
      <c r="F1136" s="45">
        <v>1</v>
      </c>
      <c r="G1136" s="45">
        <v>6</v>
      </c>
      <c r="H1136" s="45">
        <v>60</v>
      </c>
      <c r="I1136" s="45">
        <f>(8-1-0.75*2)*60*F1136-K1136-8*0.12*60</f>
        <v>57.900000000000006</v>
      </c>
      <c r="J1136" s="45">
        <v>14</v>
      </c>
      <c r="K1136" s="45">
        <f>(8-1-0.75*2)*0.65*60*F1136</f>
        <v>214.5</v>
      </c>
      <c r="L1136" s="48">
        <v>1.49</v>
      </c>
      <c r="M1136" s="48">
        <v>1.49</v>
      </c>
      <c r="N1136" s="45">
        <v>10</v>
      </c>
      <c r="O1136" s="45">
        <f>E1136/F1136</f>
        <v>1</v>
      </c>
      <c r="P1136" s="45">
        <v>180</v>
      </c>
      <c r="Q1136" s="45">
        <v>90</v>
      </c>
      <c r="R1136" s="47">
        <v>90</v>
      </c>
      <c r="S1136" s="47">
        <v>0.28999999999999998</v>
      </c>
      <c r="T1136" s="48">
        <f>ROUND((L1136*I1136+1.3*L1136*K1136+S1136*H1136),4)</f>
        <v>519.15750000000003</v>
      </c>
      <c r="U1136" s="48">
        <f>ROUND((M1136*I1136+1.3*M1136*K1136+S1136*H1136),4)</f>
        <v>519.15750000000003</v>
      </c>
      <c r="V1136" s="48">
        <f>ROUND((M1136*I1136+1.3*M1136*K1136+S1136*H1136),4)</f>
        <v>519.15750000000003</v>
      </c>
      <c r="W1136" s="48">
        <f>ROUND((L1136*J1136+1.3*L1136*N1136+S1136*G1136),4)</f>
        <v>41.97</v>
      </c>
      <c r="X1136" s="48">
        <f>ROUND((M1136*J1136+1.3*M1136*N1136+S1136*G1136),4)</f>
        <v>41.97</v>
      </c>
      <c r="Y1136" s="48">
        <f>ROUND((M1136*J1136+1.3*M1136*N1136+S1136*G1136),4)</f>
        <v>41.97</v>
      </c>
      <c r="Z1136" s="49">
        <f>ROUND((P1136*T1136*F1136*O1136/1000000),4)</f>
        <v>9.3399999999999997E-2</v>
      </c>
      <c r="AA1136" s="49">
        <f>ROUND((Q1136*U1136*F1136*O1136/1000000),4)</f>
        <v>4.6699999999999998E-2</v>
      </c>
      <c r="AB1136" s="49">
        <f>ROUND((R1136*V1136*F1136*O1136/1000000),4)</f>
        <v>4.6699999999999998E-2</v>
      </c>
      <c r="AC1136" s="50" t="s">
        <v>200</v>
      </c>
      <c r="AD1136" s="51" t="s">
        <v>153</v>
      </c>
      <c r="AE1136" s="44">
        <f>ROUND((((X1136*E1136)/1800)*0.8),4)</f>
        <v>1.8700000000000001E-2</v>
      </c>
      <c r="AF1136" s="44">
        <f>ROUND(((Z1136+AA1136+AB1136)*0.8),4)</f>
        <v>0.14940000000000001</v>
      </c>
      <c r="AG1136" s="88"/>
      <c r="AH1136" s="88"/>
    </row>
    <row r="1137" spans="1:34" ht="12.95" customHeight="1" x14ac:dyDescent="0.25">
      <c r="A1137" s="52"/>
      <c r="B1137" s="53" t="s">
        <v>243</v>
      </c>
      <c r="C1137" s="52"/>
      <c r="D1137" s="52"/>
      <c r="E1137" s="52"/>
      <c r="F1137" s="63"/>
      <c r="G1137" s="52"/>
      <c r="H1137" s="52"/>
      <c r="I1137" s="52"/>
      <c r="J1137" s="52"/>
      <c r="K1137" s="52"/>
      <c r="L1137" s="56"/>
      <c r="M1137" s="56"/>
      <c r="N1137" s="52"/>
      <c r="O1137" s="52"/>
      <c r="P1137" s="52"/>
      <c r="Q1137" s="52"/>
      <c r="R1137" s="52"/>
      <c r="S1137" s="57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0" t="s">
        <v>201</v>
      </c>
      <c r="AD1137" s="51" t="s">
        <v>202</v>
      </c>
      <c r="AE1137" s="44">
        <f>ROUND((((X1136*E1136)/1800)*0.13),4)</f>
        <v>3.0000000000000001E-3</v>
      </c>
      <c r="AF1137" s="44">
        <f>ROUND(((Z1136+AA1136+AB1136)*0.13),4)</f>
        <v>2.4299999999999999E-2</v>
      </c>
      <c r="AG1137" s="88"/>
      <c r="AH1137" s="88"/>
    </row>
    <row r="1138" spans="1:34" ht="12.95" customHeight="1" x14ac:dyDescent="0.25">
      <c r="A1138" s="52"/>
      <c r="B1138" s="88"/>
      <c r="C1138" s="55"/>
      <c r="D1138" s="55"/>
      <c r="E1138" s="52"/>
      <c r="F1138" s="63"/>
      <c r="G1138" s="52"/>
      <c r="H1138" s="52"/>
      <c r="I1138" s="52"/>
      <c r="J1138" s="52"/>
      <c r="K1138" s="52"/>
      <c r="L1138" s="59">
        <v>0.12</v>
      </c>
      <c r="M1138" s="59">
        <v>0.15</v>
      </c>
      <c r="N1138" s="52"/>
      <c r="O1138" s="52"/>
      <c r="P1138" s="52"/>
      <c r="Q1138" s="52"/>
      <c r="R1138" s="52"/>
      <c r="S1138" s="60">
        <v>5.8000000000000003E-2</v>
      </c>
      <c r="T1138" s="48">
        <f>ROUND((L1138*I1136+1.3*L1138*K1136+S1138*H1136),4)</f>
        <v>43.89</v>
      </c>
      <c r="U1138" s="48">
        <f>ROUND((M1138*0.9*I1136+1.3*M1138*0.9*K1136+S1138*H1136),4)</f>
        <v>48.941299999999998</v>
      </c>
      <c r="V1138" s="48">
        <f>ROUND((M1138*I1136+1.3*M1138*K1136+S1138*H1136),4)</f>
        <v>53.9925</v>
      </c>
      <c r="W1138" s="48">
        <f>ROUND((L1138*J1136+1.3*L1138*N1136+S1138*G1136),4)</f>
        <v>3.5880000000000001</v>
      </c>
      <c r="X1138" s="48">
        <f>ROUND((M1138*0.9*J1136+1.3*M1138*0.9*N1136+S1138*G1136),4)</f>
        <v>3.9929999999999999</v>
      </c>
      <c r="Y1138" s="48">
        <f>ROUND((M1138*J1136+1.3*M1138*N1136+S1138*G1136),4)</f>
        <v>4.3979999999999997</v>
      </c>
      <c r="Z1138" s="49">
        <f>ROUND((P1136*T1138*F1136*O1136/1000000),4)</f>
        <v>7.9000000000000008E-3</v>
      </c>
      <c r="AA1138" s="49">
        <f>ROUND((Q1136*U1138*F1136*O1136/1000000),4)</f>
        <v>4.4000000000000003E-3</v>
      </c>
      <c r="AB1138" s="49">
        <f>ROUND((R1136*V1138*F1136*O1136/1000000),4)</f>
        <v>4.8999999999999998E-3</v>
      </c>
      <c r="AC1138" s="50" t="s">
        <v>203</v>
      </c>
      <c r="AD1138" s="51" t="s">
        <v>204</v>
      </c>
      <c r="AE1138" s="44">
        <f>ROUND((((X1138*E1136)/1800)),4)</f>
        <v>2.2000000000000001E-3</v>
      </c>
      <c r="AF1138" s="44">
        <f>ROUND(((Z1138+AA1138+AB1138)),5)</f>
        <v>1.72E-2</v>
      </c>
      <c r="AG1138" s="88"/>
      <c r="AH1138" s="88"/>
    </row>
    <row r="1139" spans="1:34" ht="12.95" customHeight="1" x14ac:dyDescent="0.25">
      <c r="A1139" s="52"/>
      <c r="B1139" s="88"/>
      <c r="C1139" s="52"/>
      <c r="D1139" s="52"/>
      <c r="E1139" s="52"/>
      <c r="F1139" s="63"/>
      <c r="G1139" s="52"/>
      <c r="H1139" s="52"/>
      <c r="I1139" s="52"/>
      <c r="J1139" s="52"/>
      <c r="K1139" s="52"/>
      <c r="L1139" s="59">
        <v>0.26</v>
      </c>
      <c r="M1139" s="59">
        <v>0.31</v>
      </c>
      <c r="N1139" s="52"/>
      <c r="O1139" s="52"/>
      <c r="P1139" s="52"/>
      <c r="Q1139" s="52"/>
      <c r="R1139" s="52"/>
      <c r="S1139" s="61">
        <v>0.18</v>
      </c>
      <c r="T1139" s="48">
        <f>ROUND((L1139*I1136+1.3*L1139*K1136+S1139*H1136),4)</f>
        <v>98.355000000000004</v>
      </c>
      <c r="U1139" s="48">
        <f>ROUND((M1139*0.9*I1136+1.3*M1139*0.9*K1136+S1139*H1136),4)</f>
        <v>104.7533</v>
      </c>
      <c r="V1139" s="48">
        <f>ROUND((M1139*I1136+1.3*M1139*K1136+S1139*H1136),4)</f>
        <v>115.1925</v>
      </c>
      <c r="W1139" s="48">
        <f>ROUND((L1139*J1136+1.3*L1139*N1136+S1139*G1136),4)</f>
        <v>8.1</v>
      </c>
      <c r="X1139" s="48">
        <f>ROUND((M1139*0.9*J1136+1.3*M1139*0.9*N1136+S1139*G1136),4)</f>
        <v>8.6129999999999995</v>
      </c>
      <c r="Y1139" s="48">
        <f>ROUND((M1139*J1136+1.3*N1136+S1139*G1136),4)</f>
        <v>18.420000000000002</v>
      </c>
      <c r="Z1139" s="49">
        <f>ROUND((P1136*T1139*F1136*O1136/1000000),4)</f>
        <v>1.77E-2</v>
      </c>
      <c r="AA1139" s="49">
        <f>ROUND((Q1136*U1139*F1136*O1136/1000000),4)</f>
        <v>9.4000000000000004E-3</v>
      </c>
      <c r="AB1139" s="49">
        <f>ROUND((R1136*V1139*F1136*O1136/1000000),4)</f>
        <v>1.04E-2</v>
      </c>
      <c r="AC1139" s="50" t="s">
        <v>205</v>
      </c>
      <c r="AD1139" s="51" t="s">
        <v>206</v>
      </c>
      <c r="AE1139" s="44">
        <f>ROUND((((X1139*E1136)/1800)),4)</f>
        <v>4.7999999999999996E-3</v>
      </c>
      <c r="AF1139" s="44">
        <f>ROUND(((Z1139+AA1139+AB1139)),4)</f>
        <v>3.7499999999999999E-2</v>
      </c>
      <c r="AG1139" s="88"/>
      <c r="AH1139" s="88"/>
    </row>
    <row r="1140" spans="1:34" ht="12.95" customHeight="1" x14ac:dyDescent="0.25">
      <c r="A1140" s="52"/>
      <c r="B1140" s="53"/>
      <c r="C1140" s="52"/>
      <c r="D1140" s="52"/>
      <c r="E1140" s="52"/>
      <c r="F1140" s="63"/>
      <c r="G1140" s="52"/>
      <c r="H1140" s="52"/>
      <c r="I1140" s="52"/>
      <c r="J1140" s="52"/>
      <c r="K1140" s="52"/>
      <c r="L1140" s="59">
        <v>0.17</v>
      </c>
      <c r="M1140" s="59">
        <v>0.25</v>
      </c>
      <c r="N1140" s="52"/>
      <c r="O1140" s="52"/>
      <c r="P1140" s="52"/>
      <c r="Q1140" s="52"/>
      <c r="R1140" s="52"/>
      <c r="S1140" s="61">
        <v>0.04</v>
      </c>
      <c r="T1140" s="48">
        <f>ROUND((L1140*I1136+1.3*L1140*K1136+S1140*H1136),4)</f>
        <v>59.647500000000001</v>
      </c>
      <c r="U1140" s="48">
        <f>ROUND((M1140*0.9*I1136+1.3*M1140*0.9*K1136+S1140*H1136),4)</f>
        <v>78.168800000000005</v>
      </c>
      <c r="V1140" s="48">
        <f>ROUND((M1140*I1136+1.3*M1140*K1136+S1140*H1136),4)</f>
        <v>86.587500000000006</v>
      </c>
      <c r="W1140" s="48">
        <f>ROUND((L1140*J1136+1.3*L1140*N1136+S1140*G1136),4)</f>
        <v>4.83</v>
      </c>
      <c r="X1140" s="48">
        <f>ROUND((M1140*0.9*J1136+1.3*M1140*0.9*N1136+S1140*G1136),4)</f>
        <v>6.3150000000000004</v>
      </c>
      <c r="Y1140" s="48">
        <f>ROUND((M1140*J1136+1.3*M1140*N1136+S1140*G1136),4)</f>
        <v>6.99</v>
      </c>
      <c r="Z1140" s="49">
        <f>ROUND((P1136*T1140*F1136*O1136/1000000),4)</f>
        <v>1.0699999999999999E-2</v>
      </c>
      <c r="AA1140" s="49">
        <f>ROUND((Q1136*U1140*F1136*O1136/1000000),4)</f>
        <v>7.0000000000000001E-3</v>
      </c>
      <c r="AB1140" s="49">
        <f>ROUND((R1136*V1140*F1136*O1136/1000000),4)</f>
        <v>7.7999999999999996E-3</v>
      </c>
      <c r="AC1140" s="50" t="s">
        <v>250</v>
      </c>
      <c r="AD1140" s="51" t="s">
        <v>208</v>
      </c>
      <c r="AE1140" s="44">
        <f>ROUND((((X1140*E1136)/1800)),4)</f>
        <v>3.5000000000000001E-3</v>
      </c>
      <c r="AF1140" s="44">
        <f>ROUND(((Z1140+AA1140+AB1140)),4)</f>
        <v>2.5499999999999998E-2</v>
      </c>
      <c r="AG1140" s="88"/>
      <c r="AH1140" s="88"/>
    </row>
    <row r="1141" spans="1:34" ht="12.95" customHeight="1" x14ac:dyDescent="0.25">
      <c r="A1141" s="56"/>
      <c r="B1141" s="62"/>
      <c r="C1141" s="56"/>
      <c r="D1141" s="56"/>
      <c r="E1141" s="56"/>
      <c r="F1141" s="66"/>
      <c r="G1141" s="56"/>
      <c r="H1141" s="56"/>
      <c r="I1141" s="56"/>
      <c r="J1141" s="56"/>
      <c r="K1141" s="56"/>
      <c r="L1141" s="59">
        <v>0.77</v>
      </c>
      <c r="M1141" s="59">
        <v>0.94</v>
      </c>
      <c r="N1141" s="56"/>
      <c r="O1141" s="56"/>
      <c r="P1141" s="56"/>
      <c r="Q1141" s="56"/>
      <c r="R1141" s="56"/>
      <c r="S1141" s="61">
        <v>1.44</v>
      </c>
      <c r="T1141" s="48">
        <f>ROUND((L1141*I1136+1.3*L1141*K1136+S1141*H1136),4)</f>
        <v>345.69749999999999</v>
      </c>
      <c r="U1141" s="48">
        <f>ROUND((M1141*0.9*I1136+1.3*M1141*0.9*K1136+S1141*H1136),4)</f>
        <v>371.29050000000001</v>
      </c>
      <c r="V1141" s="48">
        <f>ROUND((M1141*I1136+1.3*M1141*K1136+S1141*H1136),4)</f>
        <v>402.94499999999999</v>
      </c>
      <c r="W1141" s="48">
        <f>ROUND((L1141*J1136+1.3*L1141*N1136+S1141*G1136),4)</f>
        <v>29.43</v>
      </c>
      <c r="X1141" s="48">
        <f>ROUND((M1141*0.9*J1136+1.3*M1141*0.9*N1136+S1141*G1136),4)</f>
        <v>31.481999999999999</v>
      </c>
      <c r="Y1141" s="48">
        <f>ROUND((M1141*J1136+1.3*M1141*N1136+S1141*G1136),4)</f>
        <v>34.020000000000003</v>
      </c>
      <c r="Z1141" s="49">
        <f>ROUND((P1136*T1141*F1136*O1136/1000000),4)</f>
        <v>6.2199999999999998E-2</v>
      </c>
      <c r="AA1141" s="49">
        <f>ROUND((Q1136*U1141*F1136*O1136/1000000),4)</f>
        <v>3.3399999999999999E-2</v>
      </c>
      <c r="AB1141" s="49">
        <f>ROUND((R1136*V1141*F1136*O1136/1000000),4)</f>
        <v>3.6299999999999999E-2</v>
      </c>
      <c r="AC1141" s="50" t="s">
        <v>170</v>
      </c>
      <c r="AD1141" s="51" t="s">
        <v>162</v>
      </c>
      <c r="AE1141" s="44">
        <f>ROUND((((X1141*E1136)/1800)),4)</f>
        <v>1.7500000000000002E-2</v>
      </c>
      <c r="AF1141" s="44">
        <f>ROUND(((Z1141+AA1141+AB1141)),4)</f>
        <v>0.13189999999999999</v>
      </c>
      <c r="AG1141" s="87"/>
      <c r="AH1141" s="87"/>
    </row>
    <row r="1142" spans="1:34" s="285" customFormat="1" ht="12.95" customHeight="1" x14ac:dyDescent="0.2">
      <c r="A1142" s="1057" t="s">
        <v>553</v>
      </c>
      <c r="B1142" s="1058"/>
      <c r="C1142" s="1058"/>
      <c r="D1142" s="1058"/>
      <c r="E1142" s="1058"/>
      <c r="F1142" s="1058"/>
      <c r="G1142" s="1058"/>
      <c r="H1142" s="1058"/>
      <c r="I1142" s="1058"/>
      <c r="J1142" s="1058"/>
      <c r="K1142" s="1058"/>
      <c r="L1142" s="1058"/>
      <c r="M1142" s="1058"/>
      <c r="N1142" s="1058"/>
      <c r="O1142" s="1058"/>
      <c r="P1142" s="1058"/>
      <c r="Q1142" s="1058"/>
      <c r="R1142" s="1058"/>
      <c r="S1142" s="1059"/>
      <c r="T1142" s="280">
        <f>ROUND((L1142*I1142+1.3*L1142*K1142+S1142*H1142),4)</f>
        <v>0</v>
      </c>
      <c r="U1142" s="280">
        <f>ROUND((M1142*I1142+1.3*M1142*K1142+S1142*H1142),4)</f>
        <v>0</v>
      </c>
      <c r="V1142" s="280">
        <f>ROUND((M1142*I1142+1.3*M1142*K1142+S1142*H1142),4)</f>
        <v>0</v>
      </c>
      <c r="W1142" s="280">
        <f>ROUND((L1142*J1142+1.3*L1142*N1142+S1142*G1142),4)</f>
        <v>0</v>
      </c>
      <c r="X1142" s="280">
        <f>ROUND((M1142*J1142+1.3*M1142*N1142+S1142*G1142),4)</f>
        <v>0</v>
      </c>
      <c r="Y1142" s="280">
        <f>ROUND((M1142*J1142+1.3*M1142*N1142+S1142*G1142),4)</f>
        <v>0</v>
      </c>
      <c r="Z1142" s="281">
        <f>ROUND((P1142*T1142*F1142*O1142/1000000),4)</f>
        <v>0</v>
      </c>
      <c r="AA1142" s="281">
        <f>ROUND((Q1142*U1142*F1142*O1142/1000000),4)</f>
        <v>0</v>
      </c>
      <c r="AB1142" s="281">
        <f>ROUND((R1142*V1142*F1142*O1142/1000000),4)</f>
        <v>0</v>
      </c>
      <c r="AC1142" s="282" t="s">
        <v>200</v>
      </c>
      <c r="AD1142" s="283" t="s">
        <v>153</v>
      </c>
      <c r="AE1142" s="284">
        <f>MAX(AE1088,AE1094,AE1100,AE1106,AE1112,AE1118,AE1124,AE1130,AE1136)</f>
        <v>0.12720000000000001</v>
      </c>
      <c r="AF1142" s="284">
        <f>AF1088+AF1094+AF1100+AF1106+AF1112+AF1118+AF1124+AF1130+AF1136</f>
        <v>6.4269000000000007</v>
      </c>
      <c r="AG1142" s="288"/>
      <c r="AH1142" s="288"/>
    </row>
    <row r="1143" spans="1:34" s="285" customFormat="1" ht="12.95" customHeight="1" x14ac:dyDescent="0.2">
      <c r="A1143" s="1057"/>
      <c r="B1143" s="1060"/>
      <c r="C1143" s="1060"/>
      <c r="D1143" s="1060"/>
      <c r="E1143" s="1060"/>
      <c r="F1143" s="1060"/>
      <c r="G1143" s="1060"/>
      <c r="H1143" s="1060"/>
      <c r="I1143" s="1060"/>
      <c r="J1143" s="1060"/>
      <c r="K1143" s="1060"/>
      <c r="L1143" s="1060"/>
      <c r="M1143" s="1060"/>
      <c r="N1143" s="1060"/>
      <c r="O1143" s="1060"/>
      <c r="P1143" s="1060"/>
      <c r="Q1143" s="1060"/>
      <c r="R1143" s="1060"/>
      <c r="S1143" s="1061"/>
      <c r="T1143" s="286"/>
      <c r="U1143" s="286"/>
      <c r="V1143" s="286"/>
      <c r="W1143" s="286"/>
      <c r="X1143" s="286"/>
      <c r="Y1143" s="286"/>
      <c r="Z1143" s="286"/>
      <c r="AA1143" s="286"/>
      <c r="AB1143" s="286"/>
      <c r="AC1143" s="282" t="s">
        <v>201</v>
      </c>
      <c r="AD1143" s="283" t="s">
        <v>202</v>
      </c>
      <c r="AE1143" s="284">
        <f t="shared" ref="AE1143:AE1147" si="24">MAX(AE1089,AE1095,AE1101,AE1107,AE1113,AE1119,AE1125,AE1131,AE1137)</f>
        <v>2.07E-2</v>
      </c>
      <c r="AF1143" s="284">
        <f t="shared" ref="AF1143:AF1147" si="25">AF1089+AF1095+AF1101+AF1107+AF1113+AF1119+AF1125+AF1131+AF1137</f>
        <v>1.0445</v>
      </c>
      <c r="AG1143" s="288"/>
      <c r="AH1143" s="288"/>
    </row>
    <row r="1144" spans="1:34" s="285" customFormat="1" ht="12.95" customHeight="1" x14ac:dyDescent="0.2">
      <c r="A1144" s="1057"/>
      <c r="B1144" s="1060"/>
      <c r="C1144" s="1060"/>
      <c r="D1144" s="1060"/>
      <c r="E1144" s="1060"/>
      <c r="F1144" s="1060"/>
      <c r="G1144" s="1060"/>
      <c r="H1144" s="1060"/>
      <c r="I1144" s="1060"/>
      <c r="J1144" s="1060"/>
      <c r="K1144" s="1060"/>
      <c r="L1144" s="1060"/>
      <c r="M1144" s="1060"/>
      <c r="N1144" s="1060"/>
      <c r="O1144" s="1060"/>
      <c r="P1144" s="1060"/>
      <c r="Q1144" s="1060"/>
      <c r="R1144" s="1060"/>
      <c r="S1144" s="1061"/>
      <c r="T1144" s="280">
        <f>ROUND((L1144*I1142+1.3*L1144*K1142+S1144*H1142),4)</f>
        <v>0</v>
      </c>
      <c r="U1144" s="280">
        <f>ROUND((M1144*0.9*I1142+1.3*M1144*0.9*K1142+S1144*H1142),4)</f>
        <v>0</v>
      </c>
      <c r="V1144" s="280">
        <f>ROUND((M1144*I1142+1.3*M1144*K1142+S1144*H1142),4)</f>
        <v>0</v>
      </c>
      <c r="W1144" s="280">
        <f>ROUND((L1144*J1142+1.3*L1144*N1142+S1144*G1142),4)</f>
        <v>0</v>
      </c>
      <c r="X1144" s="280">
        <f>ROUND((M1144*0.9*J1142+1.3*M1144*0.9*N1142+S1144*G1142),4)</f>
        <v>0</v>
      </c>
      <c r="Y1144" s="280">
        <f>ROUND((M1144*J1142+1.3*M1144*N1142+S1144*G1142),4)</f>
        <v>0</v>
      </c>
      <c r="Z1144" s="281">
        <f>ROUND((P1142*T1144*F1142*O1142/1000000),4)</f>
        <v>0</v>
      </c>
      <c r="AA1144" s="281">
        <f>ROUND((Q1142*U1144*F1142*O1142/1000000),4)</f>
        <v>0</v>
      </c>
      <c r="AB1144" s="281">
        <f>ROUND((R1142*V1144*F1142*O1142/1000000),4)</f>
        <v>0</v>
      </c>
      <c r="AC1144" s="282" t="s">
        <v>203</v>
      </c>
      <c r="AD1144" s="283" t="s">
        <v>204</v>
      </c>
      <c r="AE1144" s="284">
        <f t="shared" si="24"/>
        <v>1.4500000000000001E-2</v>
      </c>
      <c r="AF1144" s="284">
        <f t="shared" si="25"/>
        <v>0.73529999999999995</v>
      </c>
      <c r="AG1144" s="288"/>
      <c r="AH1144" s="288"/>
    </row>
    <row r="1145" spans="1:34" s="285" customFormat="1" ht="12.95" customHeight="1" x14ac:dyDescent="0.2">
      <c r="A1145" s="1057"/>
      <c r="B1145" s="1060"/>
      <c r="C1145" s="1060"/>
      <c r="D1145" s="1060"/>
      <c r="E1145" s="1060"/>
      <c r="F1145" s="1060"/>
      <c r="G1145" s="1060"/>
      <c r="H1145" s="1060"/>
      <c r="I1145" s="1060"/>
      <c r="J1145" s="1060"/>
      <c r="K1145" s="1060"/>
      <c r="L1145" s="1060"/>
      <c r="M1145" s="1060"/>
      <c r="N1145" s="1060"/>
      <c r="O1145" s="1060"/>
      <c r="P1145" s="1060"/>
      <c r="Q1145" s="1060"/>
      <c r="R1145" s="1060"/>
      <c r="S1145" s="1061"/>
      <c r="T1145" s="280">
        <f>ROUND((L1145*I1142+1.3*L1145*K1142+S1145*H1142),4)</f>
        <v>0</v>
      </c>
      <c r="U1145" s="280">
        <f>ROUND((M1145*0.9*I1142+1.3*M1145*0.9*K1142+S1145*H1142),4)</f>
        <v>0</v>
      </c>
      <c r="V1145" s="280">
        <f>ROUND((M1145*I1142+1.3*M1145*K1142+S1145*H1142),4)</f>
        <v>0</v>
      </c>
      <c r="W1145" s="280">
        <f>ROUND((L1145*J1142+1.3*L1145*N1142+S1145*G1142),4)</f>
        <v>0</v>
      </c>
      <c r="X1145" s="280">
        <f>ROUND((M1145*0.9*J1142+1.3*M1145*0.9*N1142+S1145*G1142),4)</f>
        <v>0</v>
      </c>
      <c r="Y1145" s="280">
        <f>ROUND((M1145*J1142+1.3*N1142+S1145*G1142),4)</f>
        <v>0</v>
      </c>
      <c r="Z1145" s="281">
        <f>ROUND((P1142*T1145*F1142*O1142/1000000),4)</f>
        <v>0</v>
      </c>
      <c r="AA1145" s="281">
        <f>ROUND((Q1142*U1145*F1142*O1142/1000000),4)</f>
        <v>0</v>
      </c>
      <c r="AB1145" s="281">
        <f>ROUND((R1142*V1145*F1142*O1142/1000000),4)</f>
        <v>0</v>
      </c>
      <c r="AC1145" s="282" t="s">
        <v>205</v>
      </c>
      <c r="AD1145" s="283" t="s">
        <v>206</v>
      </c>
      <c r="AE1145" s="284">
        <f t="shared" si="24"/>
        <v>3.32E-2</v>
      </c>
      <c r="AF1145" s="284">
        <f t="shared" si="25"/>
        <v>1.5407</v>
      </c>
      <c r="AG1145" s="288"/>
      <c r="AH1145" s="288"/>
    </row>
    <row r="1146" spans="1:34" s="285" customFormat="1" ht="12.95" customHeight="1" x14ac:dyDescent="0.2">
      <c r="A1146" s="1057"/>
      <c r="B1146" s="1060"/>
      <c r="C1146" s="1060"/>
      <c r="D1146" s="1060"/>
      <c r="E1146" s="1060"/>
      <c r="F1146" s="1060"/>
      <c r="G1146" s="1060"/>
      <c r="H1146" s="1060"/>
      <c r="I1146" s="1060"/>
      <c r="J1146" s="1060"/>
      <c r="K1146" s="1060"/>
      <c r="L1146" s="1060"/>
      <c r="M1146" s="1060"/>
      <c r="N1146" s="1060"/>
      <c r="O1146" s="1060"/>
      <c r="P1146" s="1060"/>
      <c r="Q1146" s="1060"/>
      <c r="R1146" s="1060"/>
      <c r="S1146" s="1061"/>
      <c r="T1146" s="280">
        <f>ROUND((L1146*I1142+1.3*L1146*K1142+S1146*H1142),4)</f>
        <v>0</v>
      </c>
      <c r="U1146" s="280">
        <f>ROUND((M1146*0.9*I1142+1.3*M1146*0.9*K1142+S1146*H1142),4)</f>
        <v>0</v>
      </c>
      <c r="V1146" s="280">
        <f>ROUND((M1146*I1142+1.3*M1146*K1142+S1146*H1142),4)</f>
        <v>0</v>
      </c>
      <c r="W1146" s="280">
        <f>ROUND((L1146*J1142+1.3*L1146*N1142+S1146*G1142),4)</f>
        <v>0</v>
      </c>
      <c r="X1146" s="280">
        <f>ROUND((M1146*0.9*J1142+1.3*M1146*0.9*N1142+S1146*G1142),4)</f>
        <v>0</v>
      </c>
      <c r="Y1146" s="280">
        <f>ROUND((M1146*J1142+1.3*M1146*N1142+S1146*G1142),4)</f>
        <v>0</v>
      </c>
      <c r="Z1146" s="281">
        <f>ROUND((P1142*T1146*F1142*O1142/1000000),4)</f>
        <v>0</v>
      </c>
      <c r="AA1146" s="281">
        <f>ROUND((Q1142*U1146*F1142*O1142/1000000),4)</f>
        <v>0</v>
      </c>
      <c r="AB1146" s="281">
        <f>ROUND((R1142*V1146*F1142*O1142/1000000),4)</f>
        <v>0</v>
      </c>
      <c r="AC1146" s="282" t="s">
        <v>250</v>
      </c>
      <c r="AD1146" s="283" t="s">
        <v>208</v>
      </c>
      <c r="AE1146" s="284">
        <f t="shared" si="24"/>
        <v>2.3800000000000002E-2</v>
      </c>
      <c r="AF1146" s="284">
        <f t="shared" si="25"/>
        <v>1.0105999999999999</v>
      </c>
      <c r="AG1146" s="288"/>
      <c r="AH1146" s="288"/>
    </row>
    <row r="1147" spans="1:34" s="285" customFormat="1" ht="12.95" customHeight="1" x14ac:dyDescent="0.2">
      <c r="A1147" s="1062"/>
      <c r="B1147" s="1063"/>
      <c r="C1147" s="1063"/>
      <c r="D1147" s="1063"/>
      <c r="E1147" s="1063"/>
      <c r="F1147" s="1063"/>
      <c r="G1147" s="1063"/>
      <c r="H1147" s="1063"/>
      <c r="I1147" s="1063"/>
      <c r="J1147" s="1063"/>
      <c r="K1147" s="1063"/>
      <c r="L1147" s="1063"/>
      <c r="M1147" s="1063"/>
      <c r="N1147" s="1063"/>
      <c r="O1147" s="1063"/>
      <c r="P1147" s="1063"/>
      <c r="Q1147" s="1063"/>
      <c r="R1147" s="1063"/>
      <c r="S1147" s="1064"/>
      <c r="T1147" s="280">
        <f>ROUND((L1147*I1142+1.3*L1147*K1142+S1147*H1142),4)</f>
        <v>0</v>
      </c>
      <c r="U1147" s="280">
        <f>ROUND((M1147*0.9*I1142+1.3*M1147*0.9*K1142+S1147*H1142),4)</f>
        <v>0</v>
      </c>
      <c r="V1147" s="280">
        <f>ROUND((M1147*I1142+1.3*M1147*K1142+S1147*H1142),4)</f>
        <v>0</v>
      </c>
      <c r="W1147" s="280">
        <f>ROUND((L1147*J1142+1.3*L1147*N1142+S1147*G1142),4)</f>
        <v>0</v>
      </c>
      <c r="X1147" s="280">
        <f>ROUND((M1147*0.9*J1142+1.3*M1147*0.9*N1142+S1147*G1142),4)</f>
        <v>0</v>
      </c>
      <c r="Y1147" s="280">
        <f>ROUND((M1147*J1142+1.3*M1147*N1142+S1147*G1142),4)</f>
        <v>0</v>
      </c>
      <c r="Z1147" s="281">
        <f>ROUND((P1142*T1147*F1142*O1142/1000000),4)</f>
        <v>0</v>
      </c>
      <c r="AA1147" s="281">
        <f>ROUND((Q1142*U1147*F1142*O1142/1000000),4)</f>
        <v>0</v>
      </c>
      <c r="AB1147" s="281">
        <f>ROUND((R1142*V1147*F1142*O1142/1000000),4)</f>
        <v>0</v>
      </c>
      <c r="AC1147" s="282" t="s">
        <v>170</v>
      </c>
      <c r="AD1147" s="283" t="s">
        <v>162</v>
      </c>
      <c r="AE1147" s="284">
        <f t="shared" si="24"/>
        <v>0.12039999999999999</v>
      </c>
      <c r="AF1147" s="284">
        <f t="shared" si="25"/>
        <v>5.0296000000000003</v>
      </c>
      <c r="AG1147" s="290">
        <f>SUM(AE1142:AE1147)</f>
        <v>0.33980000000000005</v>
      </c>
      <c r="AH1147" s="290">
        <f>SUM(AF1142:AF1147)</f>
        <v>15.787600000000001</v>
      </c>
    </row>
    <row r="1148" spans="1:34" ht="12.95" customHeight="1" x14ac:dyDescent="0.25">
      <c r="A1148" s="1068" t="s">
        <v>123</v>
      </c>
      <c r="B1148" s="1069"/>
      <c r="C1148" s="1069"/>
      <c r="D1148" s="1069"/>
      <c r="E1148" s="1069"/>
      <c r="F1148" s="1069"/>
      <c r="G1148" s="1069"/>
      <c r="H1148" s="1069"/>
      <c r="I1148" s="1069"/>
      <c r="J1148" s="1069"/>
      <c r="K1148" s="1069"/>
      <c r="L1148" s="1069"/>
      <c r="M1148" s="1069"/>
      <c r="N1148" s="1069"/>
      <c r="O1148" s="1069"/>
      <c r="P1148" s="1069"/>
      <c r="Q1148" s="1069"/>
      <c r="R1148" s="1069"/>
      <c r="S1148" s="1069"/>
      <c r="T1148" s="1069"/>
      <c r="U1148" s="1069"/>
      <c r="V1148" s="1069"/>
      <c r="W1148" s="1069"/>
      <c r="X1148" s="1069"/>
      <c r="Y1148" s="1069"/>
      <c r="Z1148" s="1069"/>
      <c r="AA1148" s="1069"/>
      <c r="AB1148" s="1069"/>
      <c r="AC1148" s="1069"/>
      <c r="AD1148" s="1069"/>
      <c r="AE1148" s="1069"/>
      <c r="AF1148" s="1070"/>
    </row>
    <row r="1149" spans="1:34" ht="12.95" customHeight="1" x14ac:dyDescent="0.25">
      <c r="A1149" s="45">
        <v>8030</v>
      </c>
      <c r="B1149" s="46" t="s">
        <v>218</v>
      </c>
      <c r="C1149" s="45">
        <v>4</v>
      </c>
      <c r="D1149" s="45" t="s">
        <v>199</v>
      </c>
      <c r="E1149" s="45">
        <v>1</v>
      </c>
      <c r="F1149" s="45">
        <v>1</v>
      </c>
      <c r="G1149" s="45">
        <v>6</v>
      </c>
      <c r="H1149" s="45">
        <v>60</v>
      </c>
      <c r="I1149" s="45">
        <f>(8-1-0.75*2)*60*F1149-K1149-8*0.12*60</f>
        <v>57.900000000000006</v>
      </c>
      <c r="J1149" s="45">
        <v>14</v>
      </c>
      <c r="K1149" s="45">
        <f>(8-1-0.75*2)*0.65*60*F1149</f>
        <v>214.5</v>
      </c>
      <c r="L1149" s="45">
        <v>2.4700000000000002</v>
      </c>
      <c r="M1149" s="45">
        <v>2.4700000000000002</v>
      </c>
      <c r="N1149" s="45">
        <v>10</v>
      </c>
      <c r="O1149" s="45">
        <f>E1149/F1149</f>
        <v>1</v>
      </c>
      <c r="P1149" s="45">
        <v>30</v>
      </c>
      <c r="Q1149" s="45">
        <v>60</v>
      </c>
      <c r="R1149" s="47">
        <v>0</v>
      </c>
      <c r="S1149" s="45">
        <v>0.48</v>
      </c>
      <c r="T1149" s="48">
        <f>ROUND((L1149*I1149+1.3*L1149*K1149+S1149*H1149),4)</f>
        <v>860.57249999999999</v>
      </c>
      <c r="U1149" s="48">
        <f>ROUND((M1149*I1149+1.3*M1149*K1149+S1149*H1149),4)</f>
        <v>860.57249999999999</v>
      </c>
      <c r="V1149" s="48">
        <f>ROUND((M1149*I1149+1.3*M1149*K1149+S1149*H1149),4)</f>
        <v>860.57249999999999</v>
      </c>
      <c r="W1149" s="48">
        <f>ROUND((L1149*J1149+1.3*L1149*N1149+S1149*G1149),4)</f>
        <v>69.569999999999993</v>
      </c>
      <c r="X1149" s="48">
        <f>ROUND((M1149*J1149+1.3*M1149*N1149+S1149*G1149),4)</f>
        <v>69.569999999999993</v>
      </c>
      <c r="Y1149" s="48">
        <f>ROUND((M1149*J1149+1.3*M1149*N1149+S1149*G1149),4)</f>
        <v>69.569999999999993</v>
      </c>
      <c r="Z1149" s="49">
        <f>ROUND((P1149*T1149*F1149*O1149/1000000),4)</f>
        <v>2.58E-2</v>
      </c>
      <c r="AA1149" s="49">
        <f>ROUND((Q1149*U1149*F1149*O1149/1000000),4)</f>
        <v>5.16E-2</v>
      </c>
      <c r="AB1149" s="49">
        <f>ROUND((R1149*V1149*F1149*O1149/1000000),4)</f>
        <v>0</v>
      </c>
      <c r="AC1149" s="50" t="s">
        <v>200</v>
      </c>
      <c r="AD1149" s="51" t="s">
        <v>153</v>
      </c>
      <c r="AE1149" s="44">
        <f>ROUND((((X1149*E1149)/1800)*0.8),4)</f>
        <v>3.09E-2</v>
      </c>
      <c r="AF1149" s="44">
        <f>ROUND(((Z1149+AA1149+AB1149)*0.8),4)</f>
        <v>6.1899999999999997E-2</v>
      </c>
    </row>
    <row r="1150" spans="1:34" ht="12.95" customHeight="1" x14ac:dyDescent="0.25">
      <c r="A1150" s="52"/>
      <c r="B1150" s="53" t="s">
        <v>219</v>
      </c>
      <c r="C1150" s="52"/>
      <c r="D1150" s="52"/>
      <c r="E1150" s="52"/>
      <c r="F1150" s="63"/>
      <c r="G1150" s="52"/>
      <c r="H1150" s="52"/>
      <c r="I1150" s="52"/>
      <c r="J1150" s="52"/>
      <c r="K1150" s="52"/>
      <c r="L1150" s="52"/>
      <c r="M1150" s="52"/>
      <c r="N1150" s="52"/>
      <c r="O1150" s="52"/>
      <c r="P1150" s="52"/>
      <c r="Q1150" s="52"/>
      <c r="R1150" s="52"/>
      <c r="S1150" s="68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0" t="s">
        <v>201</v>
      </c>
      <c r="AD1150" s="51" t="s">
        <v>202</v>
      </c>
      <c r="AE1150" s="44">
        <f>ROUND((((X1149*E1149)/1800)*0.13),4)</f>
        <v>5.0000000000000001E-3</v>
      </c>
      <c r="AF1150" s="44">
        <f>ROUND(((Z1149+AA1149+AB1149)*0.13),4)</f>
        <v>1.01E-2</v>
      </c>
    </row>
    <row r="1151" spans="1:34" ht="12.95" customHeight="1" x14ac:dyDescent="0.25">
      <c r="A1151" s="52"/>
      <c r="B1151" s="53"/>
      <c r="C1151" s="55"/>
      <c r="D1151" s="55"/>
      <c r="E1151" s="52"/>
      <c r="F1151" s="63"/>
      <c r="G1151" s="52"/>
      <c r="H1151" s="52"/>
      <c r="I1151" s="52"/>
      <c r="J1151" s="52"/>
      <c r="K1151" s="52"/>
      <c r="L1151" s="52">
        <v>0.19</v>
      </c>
      <c r="M1151" s="52">
        <v>0.23</v>
      </c>
      <c r="N1151" s="52"/>
      <c r="O1151" s="52"/>
      <c r="P1151" s="52"/>
      <c r="Q1151" s="52"/>
      <c r="R1151" s="52"/>
      <c r="S1151" s="69">
        <v>9.7000000000000003E-2</v>
      </c>
      <c r="T1151" s="48">
        <f>ROUND((L1151*I1149+1.3*L1151*K1149+S1151*H1149),4)</f>
        <v>69.802499999999995</v>
      </c>
      <c r="U1151" s="48">
        <f>ROUND((M1151*0.9*I1149+1.3*M1151*0.9*K1149+S1151*H1149),4)</f>
        <v>75.527299999999997</v>
      </c>
      <c r="V1151" s="48">
        <f>ROUND((M1151*I1149+1.3*M1151*K1149+S1151*H1149),4)</f>
        <v>83.272499999999994</v>
      </c>
      <c r="W1151" s="48">
        <f>ROUND((L1151*J1149+1.3*L1151*N1149+S1151*G1149),4)</f>
        <v>5.7119999999999997</v>
      </c>
      <c r="X1151" s="48">
        <f>ROUND((M1151*0.9*J1149+1.3*M1151*0.9*N1149+S1151*G1149),4)</f>
        <v>6.1710000000000003</v>
      </c>
      <c r="Y1151" s="48">
        <f>ROUND((M1151*J1149+1.3*M1151*N1149+S1151*G1149),4)</f>
        <v>6.7919999999999998</v>
      </c>
      <c r="Z1151" s="49">
        <f>ROUND((P1149*T1151*F1149*O1149/1000000),4)</f>
        <v>2.0999999999999999E-3</v>
      </c>
      <c r="AA1151" s="49">
        <f>ROUND((Q1149*U1151*F1149*O1149/1000000),4)</f>
        <v>4.4999999999999997E-3</v>
      </c>
      <c r="AB1151" s="49">
        <f>ROUND((R1149*V1151*F1149*O1149/1000000),4)</f>
        <v>0</v>
      </c>
      <c r="AC1151" s="50" t="s">
        <v>203</v>
      </c>
      <c r="AD1151" s="51" t="s">
        <v>204</v>
      </c>
      <c r="AE1151" s="44">
        <f>ROUND((((X1151*E1149)/1800)),4)</f>
        <v>3.3999999999999998E-3</v>
      </c>
      <c r="AF1151" s="44">
        <f>ROUND(((Z1151+AA1151+AB1151)),5)</f>
        <v>6.6E-3</v>
      </c>
    </row>
    <row r="1152" spans="1:34" ht="12.95" customHeight="1" x14ac:dyDescent="0.25">
      <c r="A1152" s="52"/>
      <c r="B1152" s="98"/>
      <c r="C1152" s="52"/>
      <c r="D1152" s="52"/>
      <c r="E1152" s="52"/>
      <c r="F1152" s="63"/>
      <c r="G1152" s="52"/>
      <c r="H1152" s="52"/>
      <c r="I1152" s="52"/>
      <c r="J1152" s="52"/>
      <c r="K1152" s="52"/>
      <c r="L1152" s="52">
        <v>0.43</v>
      </c>
      <c r="M1152" s="52">
        <v>0.51</v>
      </c>
      <c r="N1152" s="52"/>
      <c r="O1152" s="52"/>
      <c r="P1152" s="52"/>
      <c r="Q1152" s="52"/>
      <c r="R1152" s="52"/>
      <c r="S1152" s="69">
        <v>0.3</v>
      </c>
      <c r="T1152" s="48">
        <f>ROUND((L1152*I1149+1.3*L1152*K1149+S1152*H1149),4)</f>
        <v>162.80250000000001</v>
      </c>
      <c r="U1152" s="48">
        <f>ROUND((M1152*0.9*I1149+1.3*M1152*0.9*K1149+S1152*H1149),4)</f>
        <v>172.56829999999999</v>
      </c>
      <c r="V1152" s="48">
        <f>ROUND((M1152*I1149+1.3*M1152*K1149+S1152*H1149),4)</f>
        <v>189.74250000000001</v>
      </c>
      <c r="W1152" s="48">
        <f>ROUND((L1152*J1149+1.3*L1152*N1149+S1152*G1149),4)</f>
        <v>13.41</v>
      </c>
      <c r="X1152" s="48">
        <f>ROUND((M1152*0.9*J1149+1.3*M1152*0.9*N1149+S1152*G1149),4)</f>
        <v>14.193</v>
      </c>
      <c r="Y1152" s="48">
        <f>ROUND((M1152*J1149+1.3*N1149+S1152*G1149),4)</f>
        <v>21.94</v>
      </c>
      <c r="Z1152" s="49">
        <f>ROUND((P1149*T1152*F1149*O1149/1000000),4)</f>
        <v>4.8999999999999998E-3</v>
      </c>
      <c r="AA1152" s="49">
        <f>ROUND((Q1149*U1152*F1149*O1149/1000000),4)</f>
        <v>1.04E-2</v>
      </c>
      <c r="AB1152" s="49">
        <f>ROUND((R1149*V1152*F1149*O1149/1000000),4)</f>
        <v>0</v>
      </c>
      <c r="AC1152" s="50" t="s">
        <v>205</v>
      </c>
      <c r="AD1152" s="51" t="s">
        <v>206</v>
      </c>
      <c r="AE1152" s="44">
        <f>ROUND((((X1152*E1149)/1800)),4)</f>
        <v>7.9000000000000008E-3</v>
      </c>
      <c r="AF1152" s="44">
        <f>ROUND(((Z1152+AA1152+AB1152)),4)</f>
        <v>1.5299999999999999E-2</v>
      </c>
    </row>
    <row r="1153" spans="1:32" ht="12.95" customHeight="1" x14ac:dyDescent="0.25">
      <c r="A1153" s="52"/>
      <c r="B1153" s="53"/>
      <c r="C1153" s="52"/>
      <c r="D1153" s="52"/>
      <c r="E1153" s="52"/>
      <c r="F1153" s="63"/>
      <c r="G1153" s="52"/>
      <c r="H1153" s="52"/>
      <c r="I1153" s="52"/>
      <c r="J1153" s="52"/>
      <c r="K1153" s="52"/>
      <c r="L1153" s="52">
        <v>0.27</v>
      </c>
      <c r="M1153" s="52">
        <v>0.41</v>
      </c>
      <c r="N1153" s="52"/>
      <c r="O1153" s="52"/>
      <c r="P1153" s="52"/>
      <c r="Q1153" s="52"/>
      <c r="R1153" s="52"/>
      <c r="S1153" s="69">
        <v>0.06</v>
      </c>
      <c r="T1153" s="48">
        <f>ROUND((L1153*I1149+1.3*L1153*K1149+S1153*H1149),4)</f>
        <v>94.522499999999994</v>
      </c>
      <c r="U1153" s="48">
        <f>ROUND((M1153*0.9*I1149+1.3*M1153*0.9*K1149+S1153*H1149),4)</f>
        <v>127.8608</v>
      </c>
      <c r="V1153" s="48">
        <f>ROUND((M1153*I1149+1.3*M1153*K1149+S1153*H1149),4)</f>
        <v>141.66749999999999</v>
      </c>
      <c r="W1153" s="48">
        <f>ROUND((L1153*J1149+1.3*L1153*N1149+S1153*G1149),4)</f>
        <v>7.65</v>
      </c>
      <c r="X1153" s="48">
        <f>ROUND((M1153*0.9*J1149+1.3*M1153*0.9*N1149+S1153*G1149),4)</f>
        <v>10.323</v>
      </c>
      <c r="Y1153" s="48">
        <f>ROUND((M1153*J1149+1.3*M1153*N1149+S1153*G1149),4)</f>
        <v>11.43</v>
      </c>
      <c r="Z1153" s="49">
        <f>ROUND((P1149*T1153*F1149*O1149/1000000),4)</f>
        <v>2.8E-3</v>
      </c>
      <c r="AA1153" s="49">
        <f>ROUND((Q1149*U1153*F1149*O1149/1000000),4)</f>
        <v>7.7000000000000002E-3</v>
      </c>
      <c r="AB1153" s="49">
        <f>ROUND((R1149*V1153*F1149*O1149/1000000),4)</f>
        <v>0</v>
      </c>
      <c r="AC1153" s="50" t="s">
        <v>250</v>
      </c>
      <c r="AD1153" s="51" t="s">
        <v>208</v>
      </c>
      <c r="AE1153" s="44">
        <f>ROUND((((X1153*E1149)/1800)),4)</f>
        <v>5.7000000000000002E-3</v>
      </c>
      <c r="AF1153" s="44">
        <f>ROUND(((Z1153+AA1153+AB1153)),4)</f>
        <v>1.0500000000000001E-2</v>
      </c>
    </row>
    <row r="1154" spans="1:32" ht="12.95" customHeight="1" x14ac:dyDescent="0.25">
      <c r="A1154" s="52"/>
      <c r="B1154" s="53"/>
      <c r="C1154" s="56"/>
      <c r="D1154" s="56"/>
      <c r="E1154" s="56"/>
      <c r="F1154" s="66"/>
      <c r="G1154" s="56"/>
      <c r="H1154" s="56"/>
      <c r="I1154" s="56"/>
      <c r="J1154" s="56"/>
      <c r="K1154" s="56"/>
      <c r="L1154" s="56">
        <v>1.29</v>
      </c>
      <c r="M1154" s="56">
        <v>1.57</v>
      </c>
      <c r="N1154" s="56"/>
      <c r="O1154" s="56"/>
      <c r="P1154" s="56"/>
      <c r="Q1154" s="56"/>
      <c r="R1154" s="56"/>
      <c r="S1154" s="69">
        <v>2.4</v>
      </c>
      <c r="T1154" s="70">
        <f>ROUND((L1154*I1149+1.3*L1154*K1149+S1154*H1149),4)</f>
        <v>578.40750000000003</v>
      </c>
      <c r="U1154" s="70">
        <f>ROUND((M1154*0.9*I1149+1.3*M1154*0.9*K1149+S1154*H1149),4)</f>
        <v>619.82780000000002</v>
      </c>
      <c r="V1154" s="70">
        <f>ROUND((M1154*I1149+1.3*M1154*K1149+S1154*H1149),4)</f>
        <v>672.69749999999999</v>
      </c>
      <c r="W1154" s="70">
        <f>ROUND((L1154*J1149+1.3*L1154*N1149+S1154*G1149),4)</f>
        <v>49.23</v>
      </c>
      <c r="X1154" s="70">
        <f>ROUND((M1154*0.9*J1149+1.3*M1154*0.9*N1149+S1154*G1149),4)</f>
        <v>52.551000000000002</v>
      </c>
      <c r="Y1154" s="70">
        <f>ROUND((M1154*J1149+1.3*M1154*N1149+S1154*G1149),4)</f>
        <v>56.79</v>
      </c>
      <c r="Z1154" s="71">
        <f>ROUND((P1149*T1154*F1149*O1149/1000000),4)</f>
        <v>1.7399999999999999E-2</v>
      </c>
      <c r="AA1154" s="71">
        <f>ROUND((Q1149*U1154*F1149*O1149/1000000),4)</f>
        <v>3.7199999999999997E-2</v>
      </c>
      <c r="AB1154" s="71">
        <f>ROUND((R1149*V1154*F1149*O1149/1000000),4)</f>
        <v>0</v>
      </c>
      <c r="AC1154" s="50" t="s">
        <v>170</v>
      </c>
      <c r="AD1154" s="51" t="s">
        <v>162</v>
      </c>
      <c r="AE1154" s="44">
        <f>ROUND((((X1154*E1149)/1800)),4)</f>
        <v>2.92E-2</v>
      </c>
      <c r="AF1154" s="44">
        <f>ROUND(((Z1154+AA1154+AB1154)),4)</f>
        <v>5.4600000000000003E-2</v>
      </c>
    </row>
    <row r="1155" spans="1:32" ht="12.95" customHeight="1" x14ac:dyDescent="0.25">
      <c r="A1155" s="63"/>
      <c r="B1155" s="46" t="s">
        <v>211</v>
      </c>
      <c r="C1155" s="46">
        <v>5</v>
      </c>
      <c r="D1155" s="45" t="s">
        <v>209</v>
      </c>
      <c r="E1155" s="45">
        <v>1</v>
      </c>
      <c r="F1155" s="45">
        <v>1</v>
      </c>
      <c r="G1155" s="45">
        <v>6</v>
      </c>
      <c r="H1155" s="45">
        <v>60</v>
      </c>
      <c r="I1155" s="45">
        <f>(8-1-0.75*2)*60*F1155-K1155-8*0.12*60</f>
        <v>57.900000000000006</v>
      </c>
      <c r="J1155" s="45">
        <v>14</v>
      </c>
      <c r="K1155" s="45">
        <f>(8-1-0.75*2)*0.65*60*F1155</f>
        <v>214.5</v>
      </c>
      <c r="L1155" s="48">
        <v>4.01</v>
      </c>
      <c r="M1155" s="48">
        <v>4.01</v>
      </c>
      <c r="N1155" s="45">
        <v>10</v>
      </c>
      <c r="O1155" s="45">
        <f>E1155/F1155</f>
        <v>1</v>
      </c>
      <c r="P1155" s="45">
        <v>30</v>
      </c>
      <c r="Q1155" s="45">
        <v>60</v>
      </c>
      <c r="R1155" s="47">
        <v>60</v>
      </c>
      <c r="S1155" s="47">
        <v>0.78</v>
      </c>
      <c r="T1155" s="48">
        <f>ROUND((L1155*I1155+1.3*L1155*K1155+S1155*H1155),4)</f>
        <v>1397.1675</v>
      </c>
      <c r="U1155" s="48">
        <f>ROUND((M1155*I1155+1.3*M1155*K1155+S1155*H1155),4)</f>
        <v>1397.1675</v>
      </c>
      <c r="V1155" s="48">
        <f>ROUND((M1155*I1155+1.3*M1155*K1155+S1155*H1155),4)</f>
        <v>1397.1675</v>
      </c>
      <c r="W1155" s="48">
        <f>ROUND((L1155*J1155+1.3*L1155*N1155+S1155*G1155),4)</f>
        <v>112.95</v>
      </c>
      <c r="X1155" s="48">
        <f>ROUND((M1155*J1155+1.3*M1155*N1155+S1155*G1155),4)</f>
        <v>112.95</v>
      </c>
      <c r="Y1155" s="48">
        <f>ROUND((M1155*J1155+1.3*M1155*N1155+S1155*G1155),4)</f>
        <v>112.95</v>
      </c>
      <c r="Z1155" s="49">
        <f>ROUND((P1155*T1155*F1155*O1155/1000000),4)</f>
        <v>4.19E-2</v>
      </c>
      <c r="AA1155" s="49">
        <f>ROUND((Q1155*U1155*F1155*O1155/1000000),4)</f>
        <v>8.3799999999999999E-2</v>
      </c>
      <c r="AB1155" s="49">
        <f>ROUND((R1155*V1155*F1155*O1155/1000000),4)</f>
        <v>8.3799999999999999E-2</v>
      </c>
      <c r="AC1155" s="50" t="s">
        <v>200</v>
      </c>
      <c r="AD1155" s="51" t="s">
        <v>153</v>
      </c>
      <c r="AE1155" s="44">
        <f>ROUND((((X1155*E1155)/1800)*0.8),4)</f>
        <v>5.0200000000000002E-2</v>
      </c>
      <c r="AF1155" s="44">
        <f>ROUND(((Z1155+AA1155+AB1155)*0.8),4)</f>
        <v>0.1676</v>
      </c>
    </row>
    <row r="1156" spans="1:32" ht="12.95" customHeight="1" x14ac:dyDescent="0.25">
      <c r="A1156" s="63"/>
      <c r="B1156" s="73" t="s">
        <v>212</v>
      </c>
      <c r="C1156" s="53"/>
      <c r="D1156" s="52"/>
      <c r="E1156" s="52"/>
      <c r="F1156" s="52"/>
      <c r="G1156" s="52"/>
      <c r="H1156" s="52"/>
      <c r="I1156" s="52"/>
      <c r="J1156" s="52"/>
      <c r="K1156" s="52"/>
      <c r="L1156" s="56"/>
      <c r="M1156" s="56"/>
      <c r="N1156" s="52"/>
      <c r="O1156" s="52"/>
      <c r="P1156" s="63"/>
      <c r="Q1156" s="63"/>
      <c r="R1156" s="63"/>
      <c r="S1156" s="57"/>
      <c r="T1156" s="54"/>
      <c r="U1156" s="54"/>
      <c r="V1156" s="54"/>
      <c r="W1156" s="54"/>
      <c r="X1156" s="54"/>
      <c r="Y1156" s="54"/>
      <c r="Z1156" s="54"/>
      <c r="AA1156" s="54"/>
      <c r="AB1156" s="54"/>
      <c r="AC1156" s="50" t="s">
        <v>201</v>
      </c>
      <c r="AD1156" s="51" t="s">
        <v>202</v>
      </c>
      <c r="AE1156" s="44">
        <f>ROUND((((X1155*E1155)/1800)*0.13),4)</f>
        <v>8.2000000000000007E-3</v>
      </c>
      <c r="AF1156" s="44">
        <f>ROUND(((Z1155+AA1155+AB1155)*0.13),4)</f>
        <v>2.7199999999999998E-2</v>
      </c>
    </row>
    <row r="1157" spans="1:32" ht="12.95" customHeight="1" x14ac:dyDescent="0.25">
      <c r="A1157" s="63"/>
      <c r="B1157" s="64"/>
      <c r="C1157" s="58"/>
      <c r="D1157" s="55"/>
      <c r="E1157" s="52"/>
      <c r="F1157" s="52"/>
      <c r="G1157" s="52"/>
      <c r="H1157" s="52"/>
      <c r="I1157" s="52"/>
      <c r="J1157" s="52"/>
      <c r="K1157" s="52"/>
      <c r="L1157" s="59">
        <v>0.31</v>
      </c>
      <c r="M1157" s="59">
        <v>0.38</v>
      </c>
      <c r="N1157" s="52"/>
      <c r="O1157" s="52"/>
      <c r="P1157" s="63"/>
      <c r="Q1157" s="63"/>
      <c r="R1157" s="63"/>
      <c r="S1157" s="60">
        <v>0.16</v>
      </c>
      <c r="T1157" s="48">
        <f>ROUND((L1157*I1155+1.3*L1157*K1155+S1157*H1155),4)</f>
        <v>113.99250000000001</v>
      </c>
      <c r="U1157" s="48">
        <f>ROUND((M1157*0.9*I1155+1.3*M1157*0.9*K1155+S1157*H1155),4)</f>
        <v>124.7685</v>
      </c>
      <c r="V1157" s="48">
        <f>ROUND((M1157*I1155+1.3*M1157*K1155+S1157*H1155),4)</f>
        <v>137.565</v>
      </c>
      <c r="W1157" s="48">
        <f>ROUND((L1157*J1155+1.3*L1157*N1155+S1157*G1155),4)</f>
        <v>9.33</v>
      </c>
      <c r="X1157" s="48">
        <f>ROUND((M1157*0.9*J1155+1.3*M1157*0.9*N1155+S1157*G1155),4)</f>
        <v>10.194000000000001</v>
      </c>
      <c r="Y1157" s="48">
        <f>ROUND((M1157*J1155+1.3*M1157*N1155+S1157*G1155),4)</f>
        <v>11.22</v>
      </c>
      <c r="Z1157" s="49">
        <f>ROUND((P1155*T1157*F1155*O1155/1000000),4)</f>
        <v>3.3999999999999998E-3</v>
      </c>
      <c r="AA1157" s="49">
        <f>ROUND((Q1155*U1157*F1155*O1155/1000000),4)</f>
        <v>7.4999999999999997E-3</v>
      </c>
      <c r="AB1157" s="49">
        <f>ROUND((R1155*V1157*F1155*O1155/1000000),4)</f>
        <v>8.3000000000000001E-3</v>
      </c>
      <c r="AC1157" s="50" t="s">
        <v>203</v>
      </c>
      <c r="AD1157" s="51" t="s">
        <v>204</v>
      </c>
      <c r="AE1157" s="44">
        <f>ROUND((((X1157*E1155)/1800)),4)</f>
        <v>5.7000000000000002E-3</v>
      </c>
      <c r="AF1157" s="44">
        <f>ROUND(((Z1157+AA1157+AB1157)),5)</f>
        <v>1.9199999999999998E-2</v>
      </c>
    </row>
    <row r="1158" spans="1:32" ht="12.95" customHeight="1" x14ac:dyDescent="0.25">
      <c r="A1158" s="63"/>
      <c r="B1158" s="64"/>
      <c r="C1158" s="53"/>
      <c r="D1158" s="52"/>
      <c r="E1158" s="52"/>
      <c r="F1158" s="52"/>
      <c r="G1158" s="52"/>
      <c r="H1158" s="52"/>
      <c r="I1158" s="52"/>
      <c r="J1158" s="52"/>
      <c r="K1158" s="52"/>
      <c r="L1158" s="59">
        <v>0.71</v>
      </c>
      <c r="M1158" s="59">
        <v>0.85</v>
      </c>
      <c r="N1158" s="52"/>
      <c r="O1158" s="52"/>
      <c r="P1158" s="63"/>
      <c r="Q1158" s="63"/>
      <c r="R1158" s="63"/>
      <c r="S1158" s="61">
        <v>0.49</v>
      </c>
      <c r="T1158" s="48">
        <f>ROUND((L1158*I1155+1.3*L1158*K1155+S1158*H1155),4)</f>
        <v>268.49250000000001</v>
      </c>
      <c r="U1158" s="48">
        <f>ROUND((M1158*0.9*I1155+1.3*M1158*0.9*K1155+S1158*H1155),4)</f>
        <v>287.0138</v>
      </c>
      <c r="V1158" s="48">
        <f>ROUND((M1158*I1155+1.3*M1158*K1155+S1158*H1155),4)</f>
        <v>315.63749999999999</v>
      </c>
      <c r="W1158" s="48">
        <f>ROUND((L1158*J1155+1.3*L1158*N1155+S1158*G1155),4)</f>
        <v>22.11</v>
      </c>
      <c r="X1158" s="48">
        <f>ROUND((M1158*0.9*J1155+1.3*M1158*0.9*N1155+S1158*G1155),4)</f>
        <v>23.594999999999999</v>
      </c>
      <c r="Y1158" s="48">
        <f>ROUND((M1158*J1155+1.3*N1155+S1158*G1155),4)</f>
        <v>27.84</v>
      </c>
      <c r="Z1158" s="49">
        <f>ROUND((P1155*T1158*F1155*O1155/1000000),4)</f>
        <v>8.0999999999999996E-3</v>
      </c>
      <c r="AA1158" s="49">
        <f>ROUND((Q1155*U1158*F1155*O1155/1000000),4)</f>
        <v>1.72E-2</v>
      </c>
      <c r="AB1158" s="49">
        <f>ROUND((R1155*V1158*F1155*O1155/1000000),4)</f>
        <v>1.89E-2</v>
      </c>
      <c r="AC1158" s="50" t="s">
        <v>205</v>
      </c>
      <c r="AD1158" s="51" t="s">
        <v>206</v>
      </c>
      <c r="AE1158" s="44">
        <f>ROUND((((X1158*E1155)/1800)),4)</f>
        <v>1.3100000000000001E-2</v>
      </c>
      <c r="AF1158" s="44">
        <f>ROUND(((Z1158+AA1158+AB1158)),4)</f>
        <v>4.4200000000000003E-2</v>
      </c>
    </row>
    <row r="1159" spans="1:32" ht="12.95" customHeight="1" x14ac:dyDescent="0.25">
      <c r="A1159" s="63"/>
      <c r="B1159" s="64"/>
      <c r="C1159" s="53"/>
      <c r="D1159" s="52"/>
      <c r="E1159" s="52"/>
      <c r="F1159" s="52"/>
      <c r="G1159" s="52"/>
      <c r="H1159" s="52"/>
      <c r="I1159" s="52"/>
      <c r="J1159" s="52"/>
      <c r="K1159" s="52"/>
      <c r="L1159" s="59">
        <v>0.45</v>
      </c>
      <c r="M1159" s="59">
        <v>0.67</v>
      </c>
      <c r="N1159" s="52"/>
      <c r="O1159" s="52"/>
      <c r="P1159" s="63"/>
      <c r="Q1159" s="63"/>
      <c r="R1159" s="63"/>
      <c r="S1159" s="61">
        <v>0.1</v>
      </c>
      <c r="T1159" s="48">
        <f>ROUND((L1159*I1155+1.3*L1159*K1155+S1159*H1155),4)</f>
        <v>157.53749999999999</v>
      </c>
      <c r="U1159" s="48">
        <f>ROUND((M1159*0.9*I1155+1.3*M1159*0.9*K1155+S1159*H1155),4)</f>
        <v>209.06030000000001</v>
      </c>
      <c r="V1159" s="48">
        <f>ROUND((M1159*I1155+1.3*M1159*K1155+S1159*H1155),4)</f>
        <v>231.6225</v>
      </c>
      <c r="W1159" s="48">
        <f>ROUND((L1159*J1155+1.3*L1159*N1155+S1159*G1155),4)</f>
        <v>12.75</v>
      </c>
      <c r="X1159" s="48">
        <f>ROUND((M1159*0.9*J1155+1.3*M1159*0.9*N1155+S1159*G1155),4)</f>
        <v>16.881</v>
      </c>
      <c r="Y1159" s="48">
        <f>ROUND((M1159*J1155+1.3*M1159*N1155+S1159*G1155),4)</f>
        <v>18.690000000000001</v>
      </c>
      <c r="Z1159" s="49">
        <f>ROUND((P1155*T1159*F1155*O1155/1000000),4)</f>
        <v>4.7000000000000002E-3</v>
      </c>
      <c r="AA1159" s="49">
        <f>ROUND((Q1155*U1159*F1155*O1155/1000000),4)</f>
        <v>1.2500000000000001E-2</v>
      </c>
      <c r="AB1159" s="49">
        <f>ROUND((R1155*V1159*F1155*O1155/1000000),4)</f>
        <v>1.3899999999999999E-2</v>
      </c>
      <c r="AC1159" s="50" t="s">
        <v>250</v>
      </c>
      <c r="AD1159" s="51" t="s">
        <v>208</v>
      </c>
      <c r="AE1159" s="44">
        <f>ROUND((((X1159*E1155)/1800)),4)</f>
        <v>9.4000000000000004E-3</v>
      </c>
      <c r="AF1159" s="44">
        <f>ROUND(((Z1159+AA1159+AB1159)),4)</f>
        <v>3.1099999999999999E-2</v>
      </c>
    </row>
    <row r="1160" spans="1:32" ht="12.95" customHeight="1" x14ac:dyDescent="0.25">
      <c r="A1160" s="63"/>
      <c r="B1160" s="72"/>
      <c r="C1160" s="62"/>
      <c r="D1160" s="56"/>
      <c r="E1160" s="56"/>
      <c r="F1160" s="56"/>
      <c r="G1160" s="56"/>
      <c r="H1160" s="56"/>
      <c r="I1160" s="56"/>
      <c r="J1160" s="56"/>
      <c r="K1160" s="56"/>
      <c r="L1160" s="59">
        <v>2.09</v>
      </c>
      <c r="M1160" s="59">
        <v>2.5499999999999998</v>
      </c>
      <c r="N1160" s="56"/>
      <c r="O1160" s="56"/>
      <c r="P1160" s="66"/>
      <c r="Q1160" s="66"/>
      <c r="R1160" s="66"/>
      <c r="S1160" s="61">
        <v>3.91</v>
      </c>
      <c r="T1160" s="48">
        <f>ROUND((L1160*I1155+1.3*L1160*K1155+S1160*H1155),4)</f>
        <v>938.40750000000003</v>
      </c>
      <c r="U1160" s="48">
        <f>ROUND((M1160*0.9*I1155+1.3*M1160*0.9*K1155+S1160*H1155),4)</f>
        <v>1007.4413</v>
      </c>
      <c r="V1160" s="48">
        <f>ROUND((M1160*I1155+1.3*M1160*K1155+S1160*H1155),4)</f>
        <v>1093.3125</v>
      </c>
      <c r="W1160" s="48">
        <f>ROUND((L1160*J1155+1.3*L1160*N1155+S1160*G1155),4)</f>
        <v>79.89</v>
      </c>
      <c r="X1160" s="48">
        <f>ROUND((M1160*0.9*J1155+1.3*M1160*0.9*N1155+S1160*G1155),4)</f>
        <v>85.424999999999997</v>
      </c>
      <c r="Y1160" s="48">
        <f>ROUND((M1160*J1155+1.3*M1160*N1155+S1160*G1155),4)</f>
        <v>92.31</v>
      </c>
      <c r="Z1160" s="49">
        <f>ROUND((P1155*T1160*F1155*O1155/1000000),4)</f>
        <v>2.8199999999999999E-2</v>
      </c>
      <c r="AA1160" s="49">
        <f>ROUND((Q1155*U1160*F1155*O1155/1000000),4)</f>
        <v>6.0400000000000002E-2</v>
      </c>
      <c r="AB1160" s="49">
        <f>ROUND((R1155*V1160*F1155*O1155/1000000),4)</f>
        <v>6.5600000000000006E-2</v>
      </c>
      <c r="AC1160" s="50" t="s">
        <v>170</v>
      </c>
      <c r="AD1160" s="51" t="s">
        <v>162</v>
      </c>
      <c r="AE1160" s="44">
        <f>ROUND((((X1160*E1155)/1800)),4)</f>
        <v>4.7500000000000001E-2</v>
      </c>
      <c r="AF1160" s="44">
        <f>ROUND(((Z1160+AA1160+AB1160)),4)</f>
        <v>0.1542</v>
      </c>
    </row>
    <row r="1161" spans="1:32" ht="12.95" customHeight="1" x14ac:dyDescent="0.25">
      <c r="A1161" s="52"/>
      <c r="B1161" s="46" t="s">
        <v>211</v>
      </c>
      <c r="C1161" s="46">
        <v>6</v>
      </c>
      <c r="D1161" s="45" t="s">
        <v>210</v>
      </c>
      <c r="E1161" s="45">
        <v>1</v>
      </c>
      <c r="F1161" s="45">
        <v>1</v>
      </c>
      <c r="G1161" s="45">
        <v>6</v>
      </c>
      <c r="H1161" s="45">
        <v>60</v>
      </c>
      <c r="I1161" s="45">
        <f>(8-1-0.75*2)*60*F1161-K1161-8*0.12*60</f>
        <v>57.900000000000006</v>
      </c>
      <c r="J1161" s="45">
        <v>14</v>
      </c>
      <c r="K1161" s="45">
        <f>(8-1-0.75*2)*0.65*60*F1161</f>
        <v>214.5</v>
      </c>
      <c r="L1161" s="48">
        <v>6.47</v>
      </c>
      <c r="M1161" s="48">
        <v>6.47</v>
      </c>
      <c r="N1161" s="45">
        <v>10</v>
      </c>
      <c r="O1161" s="45">
        <f>E1161/F1161</f>
        <v>1</v>
      </c>
      <c r="P1161" s="45">
        <v>30</v>
      </c>
      <c r="Q1161" s="45">
        <v>60</v>
      </c>
      <c r="R1161" s="47">
        <v>60</v>
      </c>
      <c r="S1161" s="47">
        <v>1.27</v>
      </c>
      <c r="T1161" s="48">
        <f>ROUND((L1161*I1161+1.3*L1161*K1161+S1161*H1161),4)</f>
        <v>2254.9724999999999</v>
      </c>
      <c r="U1161" s="48">
        <f>ROUND((M1161*I1161+1.3*M1161*K1161+S1161*H1161),4)</f>
        <v>2254.9724999999999</v>
      </c>
      <c r="V1161" s="48">
        <f>ROUND((M1161*I1161+1.3*M1161*K1161+S1161*H1161),4)</f>
        <v>2254.9724999999999</v>
      </c>
      <c r="W1161" s="48">
        <f>ROUND((L1161*J1161+1.3*L1161*N1161+S1161*G1161),4)</f>
        <v>182.31</v>
      </c>
      <c r="X1161" s="48">
        <f>ROUND((M1161*J1161+1.3*M1161*N1161+S1161*G1161),4)</f>
        <v>182.31</v>
      </c>
      <c r="Y1161" s="48">
        <f>ROUND((M1161*J1161+1.3*M1161*N1161+S1161*G1161),4)</f>
        <v>182.31</v>
      </c>
      <c r="Z1161" s="49">
        <f>ROUND((P1161*T1161*F1161*O1161/1000000),4)</f>
        <v>6.7599999999999993E-2</v>
      </c>
      <c r="AA1161" s="49">
        <f>ROUND((Q1161*U1161*F1161*O1161/1000000),4)</f>
        <v>0.1353</v>
      </c>
      <c r="AB1161" s="49">
        <f>ROUND((R1161*V1161*F1161*O1161/1000000),4)</f>
        <v>0.1353</v>
      </c>
      <c r="AC1161" s="50" t="s">
        <v>200</v>
      </c>
      <c r="AD1161" s="51" t="s">
        <v>153</v>
      </c>
      <c r="AE1161" s="44">
        <f>ROUND((((X1161*E1161)/1800)*0.8),4)</f>
        <v>8.1000000000000003E-2</v>
      </c>
      <c r="AF1161" s="44">
        <f>ROUND(((Z1161+AA1161+AB1161)*0.8),4)</f>
        <v>0.27060000000000001</v>
      </c>
    </row>
    <row r="1162" spans="1:32" ht="12.95" customHeight="1" x14ac:dyDescent="0.25">
      <c r="A1162" s="52"/>
      <c r="B1162" s="53" t="s">
        <v>213</v>
      </c>
      <c r="C1162" s="52"/>
      <c r="D1162" s="52"/>
      <c r="E1162" s="63"/>
      <c r="F1162" s="63"/>
      <c r="G1162" s="52"/>
      <c r="H1162" s="52"/>
      <c r="I1162" s="52"/>
      <c r="J1162" s="52"/>
      <c r="K1162" s="52"/>
      <c r="L1162" s="56"/>
      <c r="M1162" s="56"/>
      <c r="N1162" s="52"/>
      <c r="O1162" s="52"/>
      <c r="P1162" s="63"/>
      <c r="Q1162" s="63"/>
      <c r="R1162" s="63"/>
      <c r="S1162" s="57"/>
      <c r="T1162" s="54"/>
      <c r="U1162" s="54"/>
      <c r="V1162" s="54"/>
      <c r="W1162" s="54"/>
      <c r="X1162" s="54"/>
      <c r="Y1162" s="54"/>
      <c r="Z1162" s="54"/>
      <c r="AA1162" s="54"/>
      <c r="AB1162" s="54"/>
      <c r="AC1162" s="50" t="s">
        <v>201</v>
      </c>
      <c r="AD1162" s="51" t="s">
        <v>202</v>
      </c>
      <c r="AE1162" s="44">
        <f>ROUND((((X1161*E1161)/1800)*0.13),4)</f>
        <v>1.32E-2</v>
      </c>
      <c r="AF1162" s="44">
        <f>ROUND(((Z1161+AA1161+AB1161)*0.13),4)</f>
        <v>4.3999999999999997E-2</v>
      </c>
    </row>
    <row r="1163" spans="1:32" ht="12.95" customHeight="1" x14ac:dyDescent="0.25">
      <c r="A1163" s="52"/>
      <c r="B1163" s="98"/>
      <c r="C1163" s="55"/>
      <c r="D1163" s="55"/>
      <c r="E1163" s="63"/>
      <c r="F1163" s="63"/>
      <c r="G1163" s="52"/>
      <c r="H1163" s="52"/>
      <c r="I1163" s="52"/>
      <c r="J1163" s="52"/>
      <c r="K1163" s="52"/>
      <c r="L1163" s="59">
        <v>0.51</v>
      </c>
      <c r="M1163" s="59">
        <v>0.63</v>
      </c>
      <c r="N1163" s="52"/>
      <c r="O1163" s="52"/>
      <c r="P1163" s="63"/>
      <c r="Q1163" s="63"/>
      <c r="R1163" s="63"/>
      <c r="S1163" s="60">
        <v>0.25</v>
      </c>
      <c r="T1163" s="48">
        <f>ROUND((L1163*I1161+1.3*L1163*K1161+S1163*H1161),4)</f>
        <v>186.74250000000001</v>
      </c>
      <c r="U1163" s="48">
        <f>ROUND((M1163*0.9*I1161+1.3*M1163*0.9*K1161+S1163*H1161),4)</f>
        <v>205.93729999999999</v>
      </c>
      <c r="V1163" s="48">
        <f>ROUND((M1163*I1161+1.3*M1163*K1161+S1163*H1161),4)</f>
        <v>227.1525</v>
      </c>
      <c r="W1163" s="48">
        <f>ROUND((L1163*J1161+1.3*L1163*N1161+S1163*G1161),4)</f>
        <v>15.27</v>
      </c>
      <c r="X1163" s="48">
        <f>ROUND((M1163*0.9*J1161+1.3*M1163*0.9*N1161+S1163*G1161),4)</f>
        <v>16.809000000000001</v>
      </c>
      <c r="Y1163" s="48">
        <f>ROUND((M1163*J1161+1.3*M1163*N1161+S1163*G1161),4)</f>
        <v>18.510000000000002</v>
      </c>
      <c r="Z1163" s="49">
        <f>ROUND((P1161*T1163*F1161*O1161/1000000),4)</f>
        <v>5.5999999999999999E-3</v>
      </c>
      <c r="AA1163" s="49">
        <f>ROUND((Q1161*U1163*F1161*O1161/1000000),4)</f>
        <v>1.24E-2</v>
      </c>
      <c r="AB1163" s="49">
        <f>ROUND((R1161*V1163*F1161*O1161/1000000),4)</f>
        <v>1.3599999999999999E-2</v>
      </c>
      <c r="AC1163" s="50" t="s">
        <v>203</v>
      </c>
      <c r="AD1163" s="51" t="s">
        <v>204</v>
      </c>
      <c r="AE1163" s="44">
        <f>ROUND((((X1163*E1161)/1800)),4)</f>
        <v>9.2999999999999992E-3</v>
      </c>
      <c r="AF1163" s="44">
        <f>ROUND(((Z1163+AA1163+AB1163)),5)</f>
        <v>3.1600000000000003E-2</v>
      </c>
    </row>
    <row r="1164" spans="1:32" ht="12.95" customHeight="1" x14ac:dyDescent="0.25">
      <c r="A1164" s="52"/>
      <c r="B1164" s="53"/>
      <c r="C1164" s="52"/>
      <c r="D1164" s="52"/>
      <c r="E1164" s="63"/>
      <c r="F1164" s="63"/>
      <c r="G1164" s="52"/>
      <c r="H1164" s="52"/>
      <c r="I1164" s="52"/>
      <c r="J1164" s="52"/>
      <c r="K1164" s="52"/>
      <c r="L1164" s="59">
        <v>1.1399999999999999</v>
      </c>
      <c r="M1164" s="59">
        <v>1.37</v>
      </c>
      <c r="N1164" s="52"/>
      <c r="O1164" s="52"/>
      <c r="P1164" s="63"/>
      <c r="Q1164" s="63"/>
      <c r="R1164" s="63"/>
      <c r="S1164" s="61">
        <v>0.79</v>
      </c>
      <c r="T1164" s="48">
        <f>ROUND((L1164*I1161+1.3*L1164*K1161+S1164*H1161),4)</f>
        <v>431.29500000000002</v>
      </c>
      <c r="U1164" s="48">
        <f>ROUND((M1164*0.9*I1161+1.3*M1164*0.9*K1161+S1164*H1161),4)</f>
        <v>462.61279999999999</v>
      </c>
      <c r="V1164" s="48">
        <f>ROUND((M1164*I1161+1.3*M1164*K1161+S1164*H1161),4)</f>
        <v>508.7475</v>
      </c>
      <c r="W1164" s="48">
        <f>ROUND((L1164*J1161+1.3*L1164*N1161+S1164*G1161),4)</f>
        <v>35.520000000000003</v>
      </c>
      <c r="X1164" s="48">
        <f>ROUND((M1164*0.9*J1161+1.3*M1164*0.9*N1161+S1164*G1161),4)</f>
        <v>38.030999999999999</v>
      </c>
      <c r="Y1164" s="48">
        <f>ROUND((M1164*J1161+1.3*N1161+S1164*G1161),4)</f>
        <v>36.92</v>
      </c>
      <c r="Z1164" s="49">
        <f>ROUND((P1161*T1164*F1161*O1161/1000000),4)</f>
        <v>1.29E-2</v>
      </c>
      <c r="AA1164" s="49">
        <f>ROUND((Q1161*U1164*F1161*O1161/1000000),4)</f>
        <v>2.7799999999999998E-2</v>
      </c>
      <c r="AB1164" s="49">
        <f>ROUND((R1161*V1164*F1161*O1161/1000000),4)</f>
        <v>3.0499999999999999E-2</v>
      </c>
      <c r="AC1164" s="50" t="s">
        <v>205</v>
      </c>
      <c r="AD1164" s="51" t="s">
        <v>206</v>
      </c>
      <c r="AE1164" s="44">
        <f>ROUND((((X1164*E1161)/1800)),4)</f>
        <v>2.1100000000000001E-2</v>
      </c>
      <c r="AF1164" s="44">
        <f>ROUND(((Z1164+AA1164+AB1164)),4)</f>
        <v>7.1199999999999999E-2</v>
      </c>
    </row>
    <row r="1165" spans="1:32" ht="12.95" customHeight="1" x14ac:dyDescent="0.25">
      <c r="A1165" s="52"/>
      <c r="B1165" s="53"/>
      <c r="C1165" s="52"/>
      <c r="D1165" s="52"/>
      <c r="E1165" s="63"/>
      <c r="F1165" s="63"/>
      <c r="G1165" s="52"/>
      <c r="H1165" s="52"/>
      <c r="I1165" s="52"/>
      <c r="J1165" s="52"/>
      <c r="K1165" s="52"/>
      <c r="L1165" s="59">
        <v>0.72</v>
      </c>
      <c r="M1165" s="59">
        <v>1.08</v>
      </c>
      <c r="N1165" s="52"/>
      <c r="O1165" s="52"/>
      <c r="P1165" s="63"/>
      <c r="Q1165" s="63"/>
      <c r="R1165" s="63"/>
      <c r="S1165" s="61">
        <v>0.17</v>
      </c>
      <c r="T1165" s="48">
        <f>ROUND((L1165*I1161+1.3*L1165*K1161+S1165*H1161),4)</f>
        <v>252.66</v>
      </c>
      <c r="U1165" s="48">
        <f>ROUND((M1165*0.9*I1161+1.3*M1165*0.9*K1161+S1165*H1161),4)</f>
        <v>337.52100000000002</v>
      </c>
      <c r="V1165" s="48">
        <f>ROUND((M1165*I1161+1.3*M1165*K1161+S1165*H1161),4)</f>
        <v>373.89</v>
      </c>
      <c r="W1165" s="48">
        <f>ROUND((L1165*J1161+1.3*L1165*N1161+S1165*G1161),4)</f>
        <v>20.46</v>
      </c>
      <c r="X1165" s="48">
        <f>ROUND((M1165*0.9*J1161+1.3*M1165*0.9*N1161+S1165*G1161),4)</f>
        <v>27.263999999999999</v>
      </c>
      <c r="Y1165" s="48">
        <f>ROUND((M1165*J1161+1.3*M1165*N1161+S1165*G1161),4)</f>
        <v>30.18</v>
      </c>
      <c r="Z1165" s="49">
        <f>ROUND((P1161*T1165*F1161*O1161/1000000),4)</f>
        <v>7.6E-3</v>
      </c>
      <c r="AA1165" s="49">
        <f>ROUND((Q1161*U1165*F1161*O1161/1000000),4)</f>
        <v>2.0299999999999999E-2</v>
      </c>
      <c r="AB1165" s="49">
        <f>ROUND((R1161*V1165*F1161*O1161/1000000),4)</f>
        <v>2.24E-2</v>
      </c>
      <c r="AC1165" s="50" t="s">
        <v>250</v>
      </c>
      <c r="AD1165" s="51" t="s">
        <v>208</v>
      </c>
      <c r="AE1165" s="44">
        <f>ROUND((((X1165*E1161)/1800)),4)</f>
        <v>1.5100000000000001E-2</v>
      </c>
      <c r="AF1165" s="44">
        <f>ROUND(((Z1165+AA1165+AB1165)),4)</f>
        <v>5.0299999999999997E-2</v>
      </c>
    </row>
    <row r="1166" spans="1:32" ht="12.95" customHeight="1" x14ac:dyDescent="0.25">
      <c r="A1166" s="52"/>
      <c r="B1166" s="62"/>
      <c r="C1166" s="56"/>
      <c r="D1166" s="56"/>
      <c r="E1166" s="66"/>
      <c r="F1166" s="66"/>
      <c r="G1166" s="56"/>
      <c r="H1166" s="56"/>
      <c r="I1166" s="56"/>
      <c r="J1166" s="56"/>
      <c r="K1166" s="56"/>
      <c r="L1166" s="59">
        <v>3.37</v>
      </c>
      <c r="M1166" s="59">
        <v>4.1100000000000003</v>
      </c>
      <c r="N1166" s="56"/>
      <c r="O1166" s="56"/>
      <c r="P1166" s="66"/>
      <c r="Q1166" s="66"/>
      <c r="R1166" s="66"/>
      <c r="S1166" s="61">
        <v>6.31</v>
      </c>
      <c r="T1166" s="48">
        <f>ROUND((L1166*I1161+1.3*L1166*K1161+S1166*H1161),4)</f>
        <v>1513.4475</v>
      </c>
      <c r="U1166" s="48">
        <f>ROUND((M1166*0.9*I1161+1.3*M1166*0.9*K1161+S1166*H1161),4)</f>
        <v>1624.2383</v>
      </c>
      <c r="V1166" s="48">
        <f>ROUND((M1166*I1161+1.3*M1166*K1161+S1166*H1161),4)</f>
        <v>1762.6424999999999</v>
      </c>
      <c r="W1166" s="48">
        <f>ROUND((L1166*J1161+1.3*L1166*N1161+S1166*G1161),4)</f>
        <v>128.85</v>
      </c>
      <c r="X1166" s="48">
        <f>ROUND((M1166*0.9*J1161+1.3*M1166*0.9*N1161+S1166*G1161),4)</f>
        <v>137.733</v>
      </c>
      <c r="Y1166" s="48">
        <f>ROUND((M1166*J1161+1.3*M1166*N1161+S1166*G1161),4)</f>
        <v>148.83000000000001</v>
      </c>
      <c r="Z1166" s="49">
        <f>ROUND((P1161*T1166*F1161*O1161/1000000),4)</f>
        <v>4.5400000000000003E-2</v>
      </c>
      <c r="AA1166" s="49">
        <f>ROUND((Q1161*U1166*F1161*O1161/1000000),4)</f>
        <v>9.7500000000000003E-2</v>
      </c>
      <c r="AB1166" s="49">
        <f>ROUND((R1161*V1166*F1161*O1161/1000000),4)</f>
        <v>0.10580000000000001</v>
      </c>
      <c r="AC1166" s="50" t="s">
        <v>170</v>
      </c>
      <c r="AD1166" s="51" t="s">
        <v>162</v>
      </c>
      <c r="AE1166" s="44">
        <f>ROUND((((X1166*E1161)/1800)),4)</f>
        <v>7.6499999999999999E-2</v>
      </c>
      <c r="AF1166" s="44">
        <f>ROUND(((Z1166+AA1166+AB1166)),4)</f>
        <v>0.2487</v>
      </c>
    </row>
    <row r="1167" spans="1:32" ht="12.95" customHeight="1" x14ac:dyDescent="0.25">
      <c r="A1167" s="52"/>
      <c r="B1167" s="67" t="s">
        <v>214</v>
      </c>
      <c r="C1167" s="46">
        <v>6</v>
      </c>
      <c r="D1167" s="45" t="s">
        <v>210</v>
      </c>
      <c r="E1167" s="45">
        <v>1</v>
      </c>
      <c r="F1167" s="45">
        <v>1</v>
      </c>
      <c r="G1167" s="45">
        <v>6</v>
      </c>
      <c r="H1167" s="45">
        <v>60</v>
      </c>
      <c r="I1167" s="45">
        <f>(8-1-0.75*2)*60*F1167-K1167-8*0.12*60</f>
        <v>57.900000000000006</v>
      </c>
      <c r="J1167" s="45">
        <v>14</v>
      </c>
      <c r="K1167" s="45">
        <f>(8-1-0.75*2)*0.65*60*F1167</f>
        <v>214.5</v>
      </c>
      <c r="L1167" s="48">
        <v>6.47</v>
      </c>
      <c r="M1167" s="48">
        <v>6.47</v>
      </c>
      <c r="N1167" s="45">
        <v>10</v>
      </c>
      <c r="O1167" s="45">
        <f>E1167/F1167</f>
        <v>1</v>
      </c>
      <c r="P1167" s="45">
        <v>30</v>
      </c>
      <c r="Q1167" s="45">
        <v>60</v>
      </c>
      <c r="R1167" s="47">
        <v>30</v>
      </c>
      <c r="S1167" s="47">
        <v>1.27</v>
      </c>
      <c r="T1167" s="48">
        <f>ROUND((L1167*I1167+1.3*L1167*K1167+S1167*H1167),4)</f>
        <v>2254.9724999999999</v>
      </c>
      <c r="U1167" s="48">
        <f>ROUND((M1167*I1167+1.3*M1167*K1167+S1167*H1167),4)</f>
        <v>2254.9724999999999</v>
      </c>
      <c r="V1167" s="48">
        <f>ROUND((M1167*I1167+1.3*M1167*K1167+S1167*H1167),4)</f>
        <v>2254.9724999999999</v>
      </c>
      <c r="W1167" s="48">
        <f>ROUND((L1167*J1167+1.3*L1167*N1167+S1167*G1167),4)</f>
        <v>182.31</v>
      </c>
      <c r="X1167" s="48">
        <f>ROUND((M1167*J1167+1.3*M1167*N1167+S1167*G1167),4)</f>
        <v>182.31</v>
      </c>
      <c r="Y1167" s="48">
        <f>ROUND((M1167*J1167+1.3*M1167*N1167+S1167*G1167),4)</f>
        <v>182.31</v>
      </c>
      <c r="Z1167" s="49">
        <f>ROUND((P1167*T1167*F1167*O1167/1000000),4)</f>
        <v>6.7599999999999993E-2</v>
      </c>
      <c r="AA1167" s="49">
        <f>ROUND((Q1167*U1167*F1167*O1167/1000000),4)</f>
        <v>0.1353</v>
      </c>
      <c r="AB1167" s="49">
        <f>ROUND((R1167*V1167*F1167*O1167/1000000),4)</f>
        <v>6.7599999999999993E-2</v>
      </c>
      <c r="AC1167" s="50" t="s">
        <v>200</v>
      </c>
      <c r="AD1167" s="51" t="s">
        <v>153</v>
      </c>
      <c r="AE1167" s="44">
        <f>ROUND((((X1167*E1167)/1800)*0.8),4)</f>
        <v>8.1000000000000003E-2</v>
      </c>
      <c r="AF1167" s="44">
        <f>ROUND(((Z1167+AA1167+AB1167)*0.8),4)</f>
        <v>0.21640000000000001</v>
      </c>
    </row>
    <row r="1168" spans="1:32" ht="12.95" customHeight="1" x14ac:dyDescent="0.25">
      <c r="A1168" s="52"/>
      <c r="B1168" s="53" t="s">
        <v>215</v>
      </c>
      <c r="C1168" s="52"/>
      <c r="D1168" s="52"/>
      <c r="E1168" s="52"/>
      <c r="F1168" s="52"/>
      <c r="G1168" s="52"/>
      <c r="H1168" s="52"/>
      <c r="I1168" s="52"/>
      <c r="J1168" s="52"/>
      <c r="K1168" s="52"/>
      <c r="L1168" s="56"/>
      <c r="M1168" s="56"/>
      <c r="N1168" s="52"/>
      <c r="O1168" s="52"/>
      <c r="P1168" s="63"/>
      <c r="Q1168" s="63"/>
      <c r="R1168" s="52"/>
      <c r="S1168" s="57"/>
      <c r="T1168" s="54"/>
      <c r="U1168" s="54"/>
      <c r="V1168" s="54"/>
      <c r="W1168" s="54"/>
      <c r="X1168" s="54"/>
      <c r="Y1168" s="54"/>
      <c r="Z1168" s="54"/>
      <c r="AA1168" s="54"/>
      <c r="AB1168" s="54"/>
      <c r="AC1168" s="50" t="s">
        <v>201</v>
      </c>
      <c r="AD1168" s="51" t="s">
        <v>202</v>
      </c>
      <c r="AE1168" s="44">
        <f>ROUND((((X1167*E1167)/1800)*0.13),4)</f>
        <v>1.32E-2</v>
      </c>
      <c r="AF1168" s="44">
        <f>ROUND(((Z1167+AA1167+AB1167)*0.13),4)</f>
        <v>3.5200000000000002E-2</v>
      </c>
    </row>
    <row r="1169" spans="1:32" ht="12.95" customHeight="1" x14ac:dyDescent="0.25">
      <c r="A1169" s="52"/>
      <c r="B1169" s="88"/>
      <c r="C1169" s="55"/>
      <c r="D1169" s="55"/>
      <c r="E1169" s="52"/>
      <c r="F1169" s="52"/>
      <c r="G1169" s="52"/>
      <c r="H1169" s="52"/>
      <c r="I1169" s="52"/>
      <c r="J1169" s="52"/>
      <c r="K1169" s="52"/>
      <c r="L1169" s="59">
        <v>0.51</v>
      </c>
      <c r="M1169" s="59">
        <v>0.63</v>
      </c>
      <c r="N1169" s="52"/>
      <c r="O1169" s="52"/>
      <c r="P1169" s="63"/>
      <c r="Q1169" s="63"/>
      <c r="R1169" s="52"/>
      <c r="S1169" s="60">
        <v>0.25</v>
      </c>
      <c r="T1169" s="48">
        <f>ROUND((L1169*I1167+1.3*L1169*K1167+S1169*H1167),4)</f>
        <v>186.74250000000001</v>
      </c>
      <c r="U1169" s="48">
        <f>ROUND((M1169*0.9*I1167+1.3*M1169*0.9*K1167+S1169*H1167),4)</f>
        <v>205.93729999999999</v>
      </c>
      <c r="V1169" s="48">
        <f>ROUND((M1169*I1167+1.3*M1169*K1167+S1169*H1167),4)</f>
        <v>227.1525</v>
      </c>
      <c r="W1169" s="48">
        <f>ROUND((L1169*J1167+1.3*L1169*N1167+S1169*G1167),4)</f>
        <v>15.27</v>
      </c>
      <c r="X1169" s="48">
        <f>ROUND((M1169*0.9*J1167+1.3*M1169*0.9*N1167+S1169*G1167),4)</f>
        <v>16.809000000000001</v>
      </c>
      <c r="Y1169" s="48">
        <f>ROUND((M1169*J1167+1.3*M1169*N1167+S1169*G1167),4)</f>
        <v>18.510000000000002</v>
      </c>
      <c r="Z1169" s="49">
        <f>ROUND((P1167*T1169*F1167*O1167/1000000),4)</f>
        <v>5.5999999999999999E-3</v>
      </c>
      <c r="AA1169" s="49">
        <f>ROUND((Q1167*U1169*F1167*O1167/1000000),4)</f>
        <v>1.24E-2</v>
      </c>
      <c r="AB1169" s="49">
        <f>ROUND((R1167*V1169*F1167*O1167/1000000),4)</f>
        <v>6.7999999999999996E-3</v>
      </c>
      <c r="AC1169" s="50" t="s">
        <v>203</v>
      </c>
      <c r="AD1169" s="51" t="s">
        <v>204</v>
      </c>
      <c r="AE1169" s="44">
        <f>ROUND((((X1169*E1167)/1800)),4)</f>
        <v>9.2999999999999992E-3</v>
      </c>
      <c r="AF1169" s="44">
        <f>ROUND(((Z1169+AA1169+AB1169)),5)</f>
        <v>2.4799999999999999E-2</v>
      </c>
    </row>
    <row r="1170" spans="1:32" ht="12.95" customHeight="1" x14ac:dyDescent="0.25">
      <c r="A1170" s="52"/>
      <c r="B1170" s="88"/>
      <c r="C1170" s="52"/>
      <c r="D1170" s="52"/>
      <c r="E1170" s="52"/>
      <c r="F1170" s="52"/>
      <c r="G1170" s="52"/>
      <c r="H1170" s="52"/>
      <c r="I1170" s="52"/>
      <c r="J1170" s="52"/>
      <c r="K1170" s="52"/>
      <c r="L1170" s="59">
        <v>1.1399999999999999</v>
      </c>
      <c r="M1170" s="59">
        <v>1.37</v>
      </c>
      <c r="N1170" s="52"/>
      <c r="O1170" s="52"/>
      <c r="P1170" s="63"/>
      <c r="Q1170" s="63"/>
      <c r="R1170" s="52"/>
      <c r="S1170" s="61">
        <v>0.79</v>
      </c>
      <c r="T1170" s="48">
        <f>ROUND((L1170*I1167+1.3*L1170*K1167+S1170*H1167),4)</f>
        <v>431.29500000000002</v>
      </c>
      <c r="U1170" s="48">
        <f>ROUND((M1170*0.9*I1167+1.3*M1170*0.9*K1167+S1170*H1167),4)</f>
        <v>462.61279999999999</v>
      </c>
      <c r="V1170" s="48">
        <f>ROUND((M1170*I1167+1.3*M1170*K1167+S1170*H1167),4)</f>
        <v>508.7475</v>
      </c>
      <c r="W1170" s="48">
        <f>ROUND((L1170*J1167+1.3*L1170*N1167+S1170*G1167),4)</f>
        <v>35.520000000000003</v>
      </c>
      <c r="X1170" s="48">
        <f>ROUND((M1170*0.9*J1167+1.3*M1170*0.9*N1167+S1170*G1167),4)</f>
        <v>38.030999999999999</v>
      </c>
      <c r="Y1170" s="48">
        <f>ROUND((M1170*J1167+1.3*N1167+S1170*G1167),4)</f>
        <v>36.92</v>
      </c>
      <c r="Z1170" s="49">
        <f>ROUND((P1167*T1170*F1167*O1167/1000000),4)</f>
        <v>1.29E-2</v>
      </c>
      <c r="AA1170" s="49">
        <f>ROUND((Q1167*U1170*F1167*O1167/1000000),4)</f>
        <v>2.7799999999999998E-2</v>
      </c>
      <c r="AB1170" s="49">
        <f>ROUND((R1167*V1170*F1167*O1167/1000000),4)</f>
        <v>1.5299999999999999E-2</v>
      </c>
      <c r="AC1170" s="50" t="s">
        <v>205</v>
      </c>
      <c r="AD1170" s="51" t="s">
        <v>206</v>
      </c>
      <c r="AE1170" s="44">
        <f>ROUND((((X1170*E1167)/1800)),4)</f>
        <v>2.1100000000000001E-2</v>
      </c>
      <c r="AF1170" s="44">
        <f>ROUND(((Z1170+AA1170+AB1170)),4)</f>
        <v>5.6000000000000001E-2</v>
      </c>
    </row>
    <row r="1171" spans="1:32" ht="12.95" customHeight="1" x14ac:dyDescent="0.25">
      <c r="A1171" s="52"/>
      <c r="B1171" s="53"/>
      <c r="C1171" s="52"/>
      <c r="D1171" s="52"/>
      <c r="E1171" s="52"/>
      <c r="F1171" s="52"/>
      <c r="G1171" s="52"/>
      <c r="H1171" s="52"/>
      <c r="I1171" s="52"/>
      <c r="J1171" s="52"/>
      <c r="K1171" s="52"/>
      <c r="L1171" s="59">
        <v>0.72</v>
      </c>
      <c r="M1171" s="59">
        <v>1.08</v>
      </c>
      <c r="N1171" s="52"/>
      <c r="O1171" s="52"/>
      <c r="P1171" s="63"/>
      <c r="Q1171" s="63"/>
      <c r="R1171" s="52"/>
      <c r="S1171" s="61">
        <v>0.17</v>
      </c>
      <c r="T1171" s="48">
        <f>ROUND((L1171*I1167+1.3*L1171*K1167+S1171*H1167),4)</f>
        <v>252.66</v>
      </c>
      <c r="U1171" s="48">
        <f>ROUND((M1171*0.9*I1167+1.3*M1171*0.9*K1167+S1171*H1167),4)</f>
        <v>337.52100000000002</v>
      </c>
      <c r="V1171" s="48">
        <f>ROUND((M1171*I1167+1.3*M1171*K1167+S1171*H1167),4)</f>
        <v>373.89</v>
      </c>
      <c r="W1171" s="48">
        <f>ROUND((L1171*J1167+1.3*L1171*N1167+S1171*G1167),4)</f>
        <v>20.46</v>
      </c>
      <c r="X1171" s="48">
        <f>ROUND((M1171*0.9*J1167+1.3*M1171*0.9*N1167+S1171*G1167),4)</f>
        <v>27.263999999999999</v>
      </c>
      <c r="Y1171" s="48">
        <f>ROUND((M1171*J1167+1.3*M1171*N1167+S1171*G1167),4)</f>
        <v>30.18</v>
      </c>
      <c r="Z1171" s="49">
        <f>ROUND((P1167*T1171*F1167*O1167/1000000),4)</f>
        <v>7.6E-3</v>
      </c>
      <c r="AA1171" s="49">
        <f>ROUND((Q1167*U1171*F1167*O1167/1000000),4)</f>
        <v>2.0299999999999999E-2</v>
      </c>
      <c r="AB1171" s="49">
        <f>ROUND((R1167*V1171*F1167*O1167/1000000),4)</f>
        <v>1.12E-2</v>
      </c>
      <c r="AC1171" s="50" t="s">
        <v>250</v>
      </c>
      <c r="AD1171" s="51" t="s">
        <v>208</v>
      </c>
      <c r="AE1171" s="44">
        <f>ROUND((((X1171*E1167)/1800)),4)</f>
        <v>1.5100000000000001E-2</v>
      </c>
      <c r="AF1171" s="44">
        <f>ROUND(((Z1171+AA1171+AB1171)),4)</f>
        <v>3.9100000000000003E-2</v>
      </c>
    </row>
    <row r="1172" spans="1:32" ht="12.95" customHeight="1" x14ac:dyDescent="0.25">
      <c r="A1172" s="52"/>
      <c r="B1172" s="62"/>
      <c r="C1172" s="56"/>
      <c r="D1172" s="56"/>
      <c r="E1172" s="56"/>
      <c r="F1172" s="56"/>
      <c r="G1172" s="56"/>
      <c r="H1172" s="56"/>
      <c r="I1172" s="56"/>
      <c r="J1172" s="56"/>
      <c r="K1172" s="56"/>
      <c r="L1172" s="59">
        <v>3.37</v>
      </c>
      <c r="M1172" s="59">
        <v>4.1100000000000003</v>
      </c>
      <c r="N1172" s="56"/>
      <c r="O1172" s="56"/>
      <c r="P1172" s="66"/>
      <c r="Q1172" s="66"/>
      <c r="R1172" s="56"/>
      <c r="S1172" s="61">
        <v>6.31</v>
      </c>
      <c r="T1172" s="48">
        <f>ROUND((L1172*I1167+1.3*L1172*K1167+S1172*H1167),4)</f>
        <v>1513.4475</v>
      </c>
      <c r="U1172" s="48">
        <f>ROUND((M1172*0.9*I1167+1.3*M1172*0.9*K1167+S1172*H1167),4)</f>
        <v>1624.2383</v>
      </c>
      <c r="V1172" s="48">
        <f>ROUND((M1172*I1167+1.3*M1172*K1167+S1172*H1167),4)</f>
        <v>1762.6424999999999</v>
      </c>
      <c r="W1172" s="48">
        <f>ROUND((L1172*J1167+1.3*L1172*N1167+S1172*G1167),4)</f>
        <v>128.85</v>
      </c>
      <c r="X1172" s="48">
        <f>ROUND((M1172*0.9*J1167+1.3*M1172*0.9*N1167+S1172*G1167),4)</f>
        <v>137.733</v>
      </c>
      <c r="Y1172" s="48">
        <f>ROUND((M1172*J1167+1.3*M1172*N1167+S1172*G1167),4)</f>
        <v>148.83000000000001</v>
      </c>
      <c r="Z1172" s="49">
        <f>ROUND((P1167*T1172*F1167*O1167/1000000),4)</f>
        <v>4.5400000000000003E-2</v>
      </c>
      <c r="AA1172" s="49">
        <f>ROUND((Q1167*U1172*F1167*O1167/1000000),4)</f>
        <v>9.7500000000000003E-2</v>
      </c>
      <c r="AB1172" s="49">
        <f>ROUND((R1167*V1172*F1167*O1167/1000000),4)</f>
        <v>5.2900000000000003E-2</v>
      </c>
      <c r="AC1172" s="50" t="s">
        <v>170</v>
      </c>
      <c r="AD1172" s="51" t="s">
        <v>162</v>
      </c>
      <c r="AE1172" s="44">
        <f>ROUND((((X1172*E1167)/1800)),4)</f>
        <v>7.6499999999999999E-2</v>
      </c>
      <c r="AF1172" s="44">
        <f>ROUND(((Z1172+AA1172+AB1172)),4)</f>
        <v>0.1958</v>
      </c>
    </row>
    <row r="1173" spans="1:32" ht="12.95" customHeight="1" x14ac:dyDescent="0.25">
      <c r="A1173" s="52"/>
      <c r="B1173" s="67" t="s">
        <v>214</v>
      </c>
      <c r="C1173" s="46">
        <v>7</v>
      </c>
      <c r="D1173" s="45" t="s">
        <v>217</v>
      </c>
      <c r="E1173" s="45">
        <v>1</v>
      </c>
      <c r="F1173" s="45">
        <v>1</v>
      </c>
      <c r="G1173" s="45">
        <v>6</v>
      </c>
      <c r="H1173" s="45">
        <v>60</v>
      </c>
      <c r="I1173" s="45">
        <f>(8-1-0.75*2)*60*F1173-K1173-8*0.12*60</f>
        <v>57.900000000000006</v>
      </c>
      <c r="J1173" s="45">
        <v>14</v>
      </c>
      <c r="K1173" s="45">
        <f>(8-1-0.75*2)*0.65*60*F1173</f>
        <v>214.5</v>
      </c>
      <c r="L1173" s="48">
        <v>10.16</v>
      </c>
      <c r="M1173" s="48">
        <v>10.16</v>
      </c>
      <c r="N1173" s="45">
        <v>10</v>
      </c>
      <c r="O1173" s="45">
        <f>E1173/F1173</f>
        <v>1</v>
      </c>
      <c r="P1173" s="45">
        <v>30</v>
      </c>
      <c r="Q1173" s="45">
        <v>60</v>
      </c>
      <c r="R1173" s="47">
        <v>30</v>
      </c>
      <c r="S1173" s="47">
        <v>1.99</v>
      </c>
      <c r="T1173" s="48">
        <f>ROUND((L1173*I1173+1.3*L1173*K1173+S1173*H1173),4)</f>
        <v>3540.78</v>
      </c>
      <c r="U1173" s="48">
        <f>ROUND((M1173*I1173+1.3*M1173*K1173+S1173*H1173),4)</f>
        <v>3540.78</v>
      </c>
      <c r="V1173" s="48">
        <f>ROUND((M1173*I1173+1.3*M1173*K1173+S1173*H1173),4)</f>
        <v>3540.78</v>
      </c>
      <c r="W1173" s="48">
        <f>ROUND((L1173*J1173+1.3*L1173*N1173+S1173*G1173),4)</f>
        <v>286.26</v>
      </c>
      <c r="X1173" s="48">
        <f>ROUND((M1173*J1173+1.3*M1173*N1173+S1173*G1173),4)</f>
        <v>286.26</v>
      </c>
      <c r="Y1173" s="48">
        <f>ROUND((M1173*J1173+1.3*M1173*N1173+S1173*G1173),4)</f>
        <v>286.26</v>
      </c>
      <c r="Z1173" s="49">
        <f>ROUND((P1173*T1173*F1173*O1173/1000000),4)</f>
        <v>0.1062</v>
      </c>
      <c r="AA1173" s="49">
        <f>ROUND((Q1173*U1173*F1173*O1173/1000000),4)</f>
        <v>0.21240000000000001</v>
      </c>
      <c r="AB1173" s="49">
        <f>ROUND((R1173*V1173*F1173*O1173/1000000),4)</f>
        <v>0.1062</v>
      </c>
      <c r="AC1173" s="50" t="s">
        <v>200</v>
      </c>
      <c r="AD1173" s="51" t="s">
        <v>153</v>
      </c>
      <c r="AE1173" s="44">
        <f>ROUND((((X1173*E1173)/1800)*0.8),4)</f>
        <v>0.12720000000000001</v>
      </c>
      <c r="AF1173" s="44">
        <f>ROUND(((Z1173+AA1173+AB1173)*0.8),4)</f>
        <v>0.33979999999999999</v>
      </c>
    </row>
    <row r="1174" spans="1:32" ht="12.95" customHeight="1" x14ac:dyDescent="0.25">
      <c r="A1174" s="52"/>
      <c r="B1174" s="53" t="s">
        <v>216</v>
      </c>
      <c r="C1174" s="52"/>
      <c r="D1174" s="52"/>
      <c r="E1174" s="52"/>
      <c r="F1174" s="52"/>
      <c r="G1174" s="52"/>
      <c r="H1174" s="52"/>
      <c r="I1174" s="52"/>
      <c r="J1174" s="52"/>
      <c r="K1174" s="52"/>
      <c r="L1174" s="56"/>
      <c r="M1174" s="56"/>
      <c r="N1174" s="52"/>
      <c r="O1174" s="52"/>
      <c r="P1174" s="52"/>
      <c r="Q1174" s="52"/>
      <c r="R1174" s="52"/>
      <c r="S1174" s="57"/>
      <c r="T1174" s="54"/>
      <c r="U1174" s="54"/>
      <c r="V1174" s="54"/>
      <c r="W1174" s="54"/>
      <c r="X1174" s="54"/>
      <c r="Y1174" s="54"/>
      <c r="Z1174" s="54"/>
      <c r="AA1174" s="54"/>
      <c r="AB1174" s="54"/>
      <c r="AC1174" s="50" t="s">
        <v>201</v>
      </c>
      <c r="AD1174" s="51" t="s">
        <v>202</v>
      </c>
      <c r="AE1174" s="44">
        <f>ROUND((((X1173*E1173)/1800)*0.13),4)</f>
        <v>2.07E-2</v>
      </c>
      <c r="AF1174" s="44">
        <f>ROUND(((Z1173+AA1173+AB1173)*0.13),4)</f>
        <v>5.5199999999999999E-2</v>
      </c>
    </row>
    <row r="1175" spans="1:32" ht="12.95" customHeight="1" x14ac:dyDescent="0.25">
      <c r="A1175" s="52"/>
      <c r="B1175" s="88"/>
      <c r="C1175" s="55"/>
      <c r="D1175" s="55"/>
      <c r="E1175" s="52"/>
      <c r="F1175" s="63"/>
      <c r="G1175" s="52"/>
      <c r="H1175" s="52"/>
      <c r="I1175" s="52"/>
      <c r="J1175" s="52"/>
      <c r="K1175" s="52"/>
      <c r="L1175" s="59">
        <v>0.8</v>
      </c>
      <c r="M1175" s="59">
        <v>0.98</v>
      </c>
      <c r="N1175" s="52"/>
      <c r="O1175" s="52"/>
      <c r="P1175" s="52"/>
      <c r="Q1175" s="52"/>
      <c r="R1175" s="52"/>
      <c r="S1175" s="60">
        <v>0.39</v>
      </c>
      <c r="T1175" s="48">
        <f>ROUND((L1175*I1173+1.3*L1175*K1173+S1175*H1173),4)</f>
        <v>292.8</v>
      </c>
      <c r="U1175" s="48">
        <f>ROUND((M1175*0.9*I1173+1.3*M1175*0.9*K1173+S1175*H1173),4)</f>
        <v>320.4135</v>
      </c>
      <c r="V1175" s="48">
        <f>ROUND((M1175*I1173+1.3*M1175*K1173+S1175*H1173),4)</f>
        <v>353.41500000000002</v>
      </c>
      <c r="W1175" s="48">
        <f>ROUND((L1175*J1173+1.3*L1175*N1173+S1175*G1173),4)</f>
        <v>23.94</v>
      </c>
      <c r="X1175" s="48">
        <f>ROUND((M1175*0.9*J1173+1.3*M1175*0.9*N1173+S1175*G1173),4)</f>
        <v>26.154</v>
      </c>
      <c r="Y1175" s="48">
        <f>ROUND((M1175*J1173+1.3*M1175*N1173+S1175*G1173),4)</f>
        <v>28.8</v>
      </c>
      <c r="Z1175" s="49">
        <f>ROUND((P1173*T1175*F1173*O1173/1000000),4)</f>
        <v>8.8000000000000005E-3</v>
      </c>
      <c r="AA1175" s="49">
        <f>ROUND((Q1173*U1175*F1173*O1173/1000000),4)</f>
        <v>1.9199999999999998E-2</v>
      </c>
      <c r="AB1175" s="49">
        <f>ROUND((R1173*V1175*F1173*O1173/1000000),4)</f>
        <v>1.06E-2</v>
      </c>
      <c r="AC1175" s="50" t="s">
        <v>203</v>
      </c>
      <c r="AD1175" s="51" t="s">
        <v>204</v>
      </c>
      <c r="AE1175" s="44">
        <f>ROUND((((X1175*E1173)/1800)),4)</f>
        <v>1.4500000000000001E-2</v>
      </c>
      <c r="AF1175" s="44">
        <f>ROUND(((Z1175+AA1175+AB1175)),5)</f>
        <v>3.8600000000000002E-2</v>
      </c>
    </row>
    <row r="1176" spans="1:32" ht="12.95" customHeight="1" x14ac:dyDescent="0.25">
      <c r="A1176" s="52"/>
      <c r="B1176" s="88"/>
      <c r="C1176" s="52"/>
      <c r="D1176" s="52"/>
      <c r="E1176" s="52"/>
      <c r="F1176" s="63"/>
      <c r="G1176" s="52"/>
      <c r="H1176" s="52"/>
      <c r="I1176" s="52"/>
      <c r="J1176" s="52"/>
      <c r="K1176" s="52"/>
      <c r="L1176" s="59">
        <v>1.79</v>
      </c>
      <c r="M1176" s="59">
        <v>2.15</v>
      </c>
      <c r="N1176" s="52"/>
      <c r="O1176" s="52"/>
      <c r="P1176" s="52"/>
      <c r="Q1176" s="52"/>
      <c r="R1176" s="52"/>
      <c r="S1176" s="61">
        <v>1.24</v>
      </c>
      <c r="T1176" s="48">
        <f>ROUND((L1176*I1173+1.3*L1176*K1173+S1176*H1173),4)</f>
        <v>677.1825</v>
      </c>
      <c r="U1176" s="48">
        <f>ROUND((M1176*0.9*I1173+1.3*M1176*0.9*K1173+S1176*H1173),4)</f>
        <v>726.01130000000001</v>
      </c>
      <c r="V1176" s="48">
        <f>ROUND((M1176*I1173+1.3*M1176*K1173+S1176*H1173),4)</f>
        <v>798.41250000000002</v>
      </c>
      <c r="W1176" s="48">
        <f>ROUND((L1176*J1173+1.3*L1176*N1173+S1176*G1173),4)</f>
        <v>55.77</v>
      </c>
      <c r="X1176" s="48">
        <f>ROUND((M1176*0.9*J1173+1.3*M1176*0.9*N1173+S1176*G1173),4)</f>
        <v>59.685000000000002</v>
      </c>
      <c r="Y1176" s="48">
        <f>ROUND((M1176*J1173+1.3*N1173+S1176*G1173),4)</f>
        <v>50.54</v>
      </c>
      <c r="Z1176" s="49">
        <f>ROUND((P1173*T1176*F1173*O1173/1000000),4)</f>
        <v>2.0299999999999999E-2</v>
      </c>
      <c r="AA1176" s="49">
        <f>ROUND((Q1173*U1176*F1173*O1173/1000000),4)</f>
        <v>4.36E-2</v>
      </c>
      <c r="AB1176" s="49">
        <f>ROUND((R1173*V1176*F1173*O1173/1000000),4)</f>
        <v>2.4E-2</v>
      </c>
      <c r="AC1176" s="50" t="s">
        <v>205</v>
      </c>
      <c r="AD1176" s="51" t="s">
        <v>206</v>
      </c>
      <c r="AE1176" s="44">
        <f>ROUND((((X1176*E1173)/1800)),4)</f>
        <v>3.32E-2</v>
      </c>
      <c r="AF1176" s="44">
        <f>ROUND(((Z1176+AA1176+AB1176)),4)</f>
        <v>8.7900000000000006E-2</v>
      </c>
    </row>
    <row r="1177" spans="1:32" ht="12.95" customHeight="1" x14ac:dyDescent="0.25">
      <c r="A1177" s="52"/>
      <c r="B1177" s="53"/>
      <c r="C1177" s="52"/>
      <c r="D1177" s="52"/>
      <c r="E1177" s="52"/>
      <c r="F1177" s="63"/>
      <c r="G1177" s="52"/>
      <c r="H1177" s="52"/>
      <c r="I1177" s="52"/>
      <c r="J1177" s="52"/>
      <c r="K1177" s="52"/>
      <c r="L1177" s="59">
        <v>1.1299999999999999</v>
      </c>
      <c r="M1177" s="59">
        <v>1.7</v>
      </c>
      <c r="N1177" s="52"/>
      <c r="O1177" s="52"/>
      <c r="P1177" s="52"/>
      <c r="Q1177" s="52"/>
      <c r="R1177" s="52"/>
      <c r="S1177" s="61">
        <v>0.26</v>
      </c>
      <c r="T1177" s="48">
        <f>ROUND((L1177*I1173+1.3*L1177*K1173+S1177*H1173),4)</f>
        <v>396.1275</v>
      </c>
      <c r="U1177" s="48">
        <f>ROUND((M1177*0.9*I1173+1.3*M1177*0.9*K1173+S1177*H1173),4)</f>
        <v>530.82749999999999</v>
      </c>
      <c r="V1177" s="48">
        <f>ROUND((M1177*I1173+1.3*M1177*K1173+S1177*H1173),4)</f>
        <v>588.07500000000005</v>
      </c>
      <c r="W1177" s="48">
        <f>ROUND((L1177*J1173+1.3*L1177*N1173+S1177*G1173),4)</f>
        <v>32.07</v>
      </c>
      <c r="X1177" s="48">
        <f>ROUND((M1177*0.9*J1173+1.3*M1177*0.9*N1173+S1177*G1173),4)</f>
        <v>42.87</v>
      </c>
      <c r="Y1177" s="48">
        <f>ROUND((M1177*J1173+1.3*M1177*N1173+S1177*G1173),4)</f>
        <v>47.46</v>
      </c>
      <c r="Z1177" s="49">
        <f>ROUND((P1173*T1177*F1173*O1173/1000000),4)</f>
        <v>1.1900000000000001E-2</v>
      </c>
      <c r="AA1177" s="49">
        <f>ROUND((Q1173*U1177*F1173*O1173/1000000),4)</f>
        <v>3.1800000000000002E-2</v>
      </c>
      <c r="AB1177" s="49">
        <f>ROUND((R1173*V1177*F1173*O1173/1000000),4)</f>
        <v>1.7600000000000001E-2</v>
      </c>
      <c r="AC1177" s="50" t="s">
        <v>250</v>
      </c>
      <c r="AD1177" s="51" t="s">
        <v>208</v>
      </c>
      <c r="AE1177" s="44">
        <f>ROUND((((X1177*E1173)/1800)),4)</f>
        <v>2.3800000000000002E-2</v>
      </c>
      <c r="AF1177" s="44">
        <f>ROUND(((Z1177+AA1177+AB1177)),4)</f>
        <v>6.13E-2</v>
      </c>
    </row>
    <row r="1178" spans="1:32" ht="12.95" customHeight="1" x14ac:dyDescent="0.25">
      <c r="A1178" s="52"/>
      <c r="B1178" s="62"/>
      <c r="C1178" s="56"/>
      <c r="D1178" s="56"/>
      <c r="E1178" s="56"/>
      <c r="F1178" s="66"/>
      <c r="G1178" s="56"/>
      <c r="H1178" s="56"/>
      <c r="I1178" s="56"/>
      <c r="J1178" s="56"/>
      <c r="K1178" s="56"/>
      <c r="L1178" s="59">
        <v>5.3</v>
      </c>
      <c r="M1178" s="59">
        <v>6.47</v>
      </c>
      <c r="N1178" s="56"/>
      <c r="O1178" s="56"/>
      <c r="P1178" s="56"/>
      <c r="Q1178" s="56"/>
      <c r="R1178" s="56"/>
      <c r="S1178" s="61">
        <v>9.92</v>
      </c>
      <c r="T1178" s="48">
        <f>ROUND((L1178*I1173+1.3*L1178*K1173+S1178*H1173),4)</f>
        <v>2379.9749999999999</v>
      </c>
      <c r="U1178" s="48">
        <f>ROUND((M1178*0.9*I1173+1.3*M1178*0.9*K1173+S1178*H1173),4)</f>
        <v>2556.0953</v>
      </c>
      <c r="V1178" s="48">
        <f>ROUND((M1178*I1173+1.3*M1178*K1173+S1178*H1173),4)</f>
        <v>2773.9724999999999</v>
      </c>
      <c r="W1178" s="48">
        <f>ROUND((L1178*J1173+1.3*L1178*N1173+S1178*G1173),4)</f>
        <v>202.62</v>
      </c>
      <c r="X1178" s="48">
        <f>ROUND((M1178*0.9*J1173+1.3*M1178*0.9*N1173+S1178*G1173),4)</f>
        <v>216.74100000000001</v>
      </c>
      <c r="Y1178" s="48">
        <f>ROUND((M1178*J1173+1.3*M1178*N1173+S1178*G1173),4)</f>
        <v>234.21</v>
      </c>
      <c r="Z1178" s="49">
        <f>ROUND((P1173*T1178*F1173*O1173/1000000),4)</f>
        <v>7.1400000000000005E-2</v>
      </c>
      <c r="AA1178" s="49">
        <f>ROUND((Q1173*U1178*F1173*O1173/1000000),4)</f>
        <v>0.15340000000000001</v>
      </c>
      <c r="AB1178" s="49">
        <f>ROUND((R1173*V1178*F1173*O1173/1000000),4)</f>
        <v>8.3199999999999996E-2</v>
      </c>
      <c r="AC1178" s="50" t="s">
        <v>170</v>
      </c>
      <c r="AD1178" s="51" t="s">
        <v>162</v>
      </c>
      <c r="AE1178" s="44">
        <f>ROUND((((X1178*E1173)/1800)),4)</f>
        <v>0.12039999999999999</v>
      </c>
      <c r="AF1178" s="44">
        <f>ROUND(((Z1178+AA1178+AB1178)),4)</f>
        <v>0.308</v>
      </c>
    </row>
    <row r="1179" spans="1:32" ht="12.95" customHeight="1" x14ac:dyDescent="0.25">
      <c r="A1179" s="52"/>
      <c r="B1179" s="67" t="s">
        <v>220</v>
      </c>
      <c r="C1179" s="46">
        <v>7</v>
      </c>
      <c r="D1179" s="45" t="s">
        <v>217</v>
      </c>
      <c r="E1179" s="45">
        <v>1</v>
      </c>
      <c r="F1179" s="45">
        <v>3</v>
      </c>
      <c r="G1179" s="45">
        <v>6</v>
      </c>
      <c r="H1179" s="45">
        <v>60</v>
      </c>
      <c r="I1179" s="45">
        <f>(8-1-0.75*2)*60*F1179-K1179-8*0.12*60</f>
        <v>288.89999999999998</v>
      </c>
      <c r="J1179" s="45">
        <v>14</v>
      </c>
      <c r="K1179" s="45">
        <f>(8-1-0.75*2)*0.65*60*F1179</f>
        <v>643.5</v>
      </c>
      <c r="L1179" s="48">
        <v>10.16</v>
      </c>
      <c r="M1179" s="48">
        <v>10.16</v>
      </c>
      <c r="N1179" s="45">
        <v>10</v>
      </c>
      <c r="O1179" s="45">
        <f>E1179/F1179</f>
        <v>0.33333333333333331</v>
      </c>
      <c r="P1179" s="45">
        <v>30</v>
      </c>
      <c r="Q1179" s="45">
        <v>60</v>
      </c>
      <c r="R1179" s="47">
        <v>30</v>
      </c>
      <c r="S1179" s="47">
        <v>1.99</v>
      </c>
      <c r="T1179" s="48">
        <f>ROUND((L1179*I1179+1.3*L1179*K1179+S1179*H1179),4)</f>
        <v>11553.972</v>
      </c>
      <c r="U1179" s="48">
        <f>ROUND((M1179*I1179+1.3*M1179*K1179+S1179*H1179),4)</f>
        <v>11553.972</v>
      </c>
      <c r="V1179" s="48">
        <f>ROUND((M1179*I1179+1.3*M1179*K1179+S1179*H1179),4)</f>
        <v>11553.972</v>
      </c>
      <c r="W1179" s="48">
        <f>ROUND((L1179*J1179+1.3*L1179*N1179+S1179*G1179),4)</f>
        <v>286.26</v>
      </c>
      <c r="X1179" s="48">
        <f>ROUND((M1179*J1179+1.3*M1179*N1179+S1179*G1179),4)</f>
        <v>286.26</v>
      </c>
      <c r="Y1179" s="48">
        <f>ROUND((M1179*J1179+1.3*M1179*N1179+S1179*G1179),4)</f>
        <v>286.26</v>
      </c>
      <c r="Z1179" s="49">
        <f>ROUND((P1179*T1179*F1179*O1179/1000000),4)</f>
        <v>0.34660000000000002</v>
      </c>
      <c r="AA1179" s="49">
        <f>ROUND((Q1179*U1179*F1179*O1179/1000000),4)</f>
        <v>0.69320000000000004</v>
      </c>
      <c r="AB1179" s="49">
        <f>ROUND((R1179*V1179*F1179*O1179/1000000),4)</f>
        <v>0.34660000000000002</v>
      </c>
      <c r="AC1179" s="50" t="s">
        <v>200</v>
      </c>
      <c r="AD1179" s="51" t="s">
        <v>153</v>
      </c>
      <c r="AE1179" s="44">
        <f>ROUND((((X1179*E1179)/1800)*0.8),4)</f>
        <v>0.12720000000000001</v>
      </c>
      <c r="AF1179" s="44">
        <f>ROUND(((Z1179+AA1179+AB1179)*0.8),4)</f>
        <v>1.1091</v>
      </c>
    </row>
    <row r="1180" spans="1:32" ht="12.95" customHeight="1" x14ac:dyDescent="0.25">
      <c r="A1180" s="52"/>
      <c r="B1180" s="53" t="s">
        <v>221</v>
      </c>
      <c r="C1180" s="52"/>
      <c r="D1180" s="52"/>
      <c r="E1180" s="52"/>
      <c r="F1180" s="52"/>
      <c r="G1180" s="52"/>
      <c r="H1180" s="52"/>
      <c r="I1180" s="52"/>
      <c r="J1180" s="52"/>
      <c r="K1180" s="52"/>
      <c r="L1180" s="56"/>
      <c r="M1180" s="56"/>
      <c r="N1180" s="52"/>
      <c r="O1180" s="52"/>
      <c r="P1180" s="52"/>
      <c r="Q1180" s="52"/>
      <c r="R1180" s="52"/>
      <c r="S1180" s="57"/>
      <c r="T1180" s="54"/>
      <c r="U1180" s="54"/>
      <c r="V1180" s="54"/>
      <c r="W1180" s="54"/>
      <c r="X1180" s="54"/>
      <c r="Y1180" s="54"/>
      <c r="Z1180" s="54"/>
      <c r="AA1180" s="54"/>
      <c r="AB1180" s="54"/>
      <c r="AC1180" s="50" t="s">
        <v>201</v>
      </c>
      <c r="AD1180" s="51" t="s">
        <v>202</v>
      </c>
      <c r="AE1180" s="44">
        <f>ROUND((((X1179*E1179)/1800)*0.13),4)</f>
        <v>2.07E-2</v>
      </c>
      <c r="AF1180" s="44">
        <f>ROUND(((Z1179+AA1179+AB1179)*0.13),4)</f>
        <v>0.1802</v>
      </c>
    </row>
    <row r="1181" spans="1:32" ht="12.95" customHeight="1" x14ac:dyDescent="0.25">
      <c r="A1181" s="52"/>
      <c r="B1181" s="88"/>
      <c r="C1181" s="55"/>
      <c r="D1181" s="55"/>
      <c r="E1181" s="52"/>
      <c r="F1181" s="52"/>
      <c r="G1181" s="52"/>
      <c r="H1181" s="52"/>
      <c r="I1181" s="52"/>
      <c r="J1181" s="52"/>
      <c r="K1181" s="52"/>
      <c r="L1181" s="59">
        <v>0.8</v>
      </c>
      <c r="M1181" s="59">
        <v>0.98</v>
      </c>
      <c r="N1181" s="52"/>
      <c r="O1181" s="52"/>
      <c r="P1181" s="52"/>
      <c r="Q1181" s="52"/>
      <c r="R1181" s="52"/>
      <c r="S1181" s="60">
        <v>0.39</v>
      </c>
      <c r="T1181" s="48">
        <f>ROUND((L1181*I1179+1.3*L1181*K1179+S1181*H1179),4)</f>
        <v>923.76</v>
      </c>
      <c r="U1181" s="48">
        <f>ROUND((M1181*0.9*I1179+1.3*M1181*0.9*K1179+S1181*H1179),4)</f>
        <v>1016.0469000000001</v>
      </c>
      <c r="V1181" s="48">
        <f>ROUND((M1181*I1179+1.3*M1181*K1179+S1181*H1179),4)</f>
        <v>1126.3409999999999</v>
      </c>
      <c r="W1181" s="48">
        <f>ROUND((L1181*J1179+1.3*L1181*N1179+S1181*G1179),4)</f>
        <v>23.94</v>
      </c>
      <c r="X1181" s="48">
        <f>ROUND((M1181*0.9*J1179+1.3*M1181*0.9*N1179+S1181*G1179),4)</f>
        <v>26.154</v>
      </c>
      <c r="Y1181" s="48">
        <f>ROUND((M1181*J1179+1.3*M1181*N1179+S1181*G1179),4)</f>
        <v>28.8</v>
      </c>
      <c r="Z1181" s="49">
        <f>ROUND((P1179*T1181*F1179*O1179/1000000),4)</f>
        <v>2.7699999999999999E-2</v>
      </c>
      <c r="AA1181" s="49">
        <f>ROUND((Q1179*U1181*F1179*O1179/1000000),4)</f>
        <v>6.0999999999999999E-2</v>
      </c>
      <c r="AB1181" s="49">
        <f>ROUND((R1179*V1181*F1179*O1179/1000000),4)</f>
        <v>3.3799999999999997E-2</v>
      </c>
      <c r="AC1181" s="50" t="s">
        <v>203</v>
      </c>
      <c r="AD1181" s="51" t="s">
        <v>204</v>
      </c>
      <c r="AE1181" s="44">
        <f>ROUND((((X1181*E1179)/1800)),4)</f>
        <v>1.4500000000000001E-2</v>
      </c>
      <c r="AF1181" s="44">
        <f>ROUND(((Z1181+AA1181+AB1181)),5)</f>
        <v>0.1225</v>
      </c>
    </row>
    <row r="1182" spans="1:32" ht="12.95" customHeight="1" x14ac:dyDescent="0.25">
      <c r="A1182" s="52"/>
      <c r="B1182" s="88"/>
      <c r="C1182" s="52"/>
      <c r="D1182" s="52"/>
      <c r="E1182" s="52"/>
      <c r="F1182" s="52"/>
      <c r="G1182" s="52"/>
      <c r="H1182" s="52"/>
      <c r="I1182" s="52"/>
      <c r="J1182" s="52"/>
      <c r="K1182" s="52"/>
      <c r="L1182" s="59">
        <v>1.79</v>
      </c>
      <c r="M1182" s="59">
        <v>2.15</v>
      </c>
      <c r="N1182" s="52"/>
      <c r="O1182" s="52"/>
      <c r="P1182" s="52"/>
      <c r="Q1182" s="52"/>
      <c r="R1182" s="52"/>
      <c r="S1182" s="61">
        <v>1.24</v>
      </c>
      <c r="T1182" s="48">
        <f>ROUND((L1182*I1179+1.3*L1182*K1179+S1182*H1179),4)</f>
        <v>2088.9555</v>
      </c>
      <c r="U1182" s="48">
        <f>ROUND((M1182*0.9*I1179+1.3*M1182*0.9*K1179+S1182*H1179),4)</f>
        <v>2252.1457999999998</v>
      </c>
      <c r="V1182" s="48">
        <f>ROUND((M1182*I1179+1.3*M1182*K1179+S1182*H1179),4)</f>
        <v>2494.1174999999998</v>
      </c>
      <c r="W1182" s="48">
        <f>ROUND((L1182*J1179+1.3*L1182*N1179+S1182*G1179),4)</f>
        <v>55.77</v>
      </c>
      <c r="X1182" s="48">
        <f>ROUND((M1182*0.9*J1179+1.3*M1182*0.9*N1179+S1182*G1179),4)</f>
        <v>59.685000000000002</v>
      </c>
      <c r="Y1182" s="48">
        <f>ROUND((M1182*J1179+1.3*N1179+S1182*G1179),4)</f>
        <v>50.54</v>
      </c>
      <c r="Z1182" s="49">
        <f>ROUND((P1179*T1182*F1179*O1179/1000000),4)</f>
        <v>6.2700000000000006E-2</v>
      </c>
      <c r="AA1182" s="49">
        <f>ROUND((Q1179*U1182*F1179*O1179/1000000),4)</f>
        <v>0.1351</v>
      </c>
      <c r="AB1182" s="49">
        <f>ROUND((R1179*V1182*F1179*O1179/1000000),4)</f>
        <v>7.4800000000000005E-2</v>
      </c>
      <c r="AC1182" s="50" t="s">
        <v>205</v>
      </c>
      <c r="AD1182" s="51" t="s">
        <v>206</v>
      </c>
      <c r="AE1182" s="44">
        <f>ROUND((((X1182*E1179)/1800)),4)</f>
        <v>3.32E-2</v>
      </c>
      <c r="AF1182" s="44">
        <f>ROUND(((Z1182+AA1182+AB1182)),4)</f>
        <v>0.27260000000000001</v>
      </c>
    </row>
    <row r="1183" spans="1:32" ht="12.95" customHeight="1" x14ac:dyDescent="0.25">
      <c r="A1183" s="52"/>
      <c r="B1183" s="53"/>
      <c r="C1183" s="52"/>
      <c r="D1183" s="52"/>
      <c r="E1183" s="52"/>
      <c r="F1183" s="52"/>
      <c r="G1183" s="52"/>
      <c r="H1183" s="52"/>
      <c r="I1183" s="52"/>
      <c r="J1183" s="52"/>
      <c r="K1183" s="52"/>
      <c r="L1183" s="59">
        <v>1.1299999999999999</v>
      </c>
      <c r="M1183" s="59">
        <v>1.7</v>
      </c>
      <c r="N1183" s="52"/>
      <c r="O1183" s="52"/>
      <c r="P1183" s="52"/>
      <c r="Q1183" s="52"/>
      <c r="R1183" s="52"/>
      <c r="S1183" s="61">
        <v>0.26</v>
      </c>
      <c r="T1183" s="48">
        <f>ROUND((L1183*I1179+1.3*L1183*K1179+S1183*H1179),4)</f>
        <v>1287.3585</v>
      </c>
      <c r="U1183" s="48">
        <f>ROUND((M1183*0.9*I1179+1.3*M1183*0.9*K1179+S1183*H1179),4)</f>
        <v>1737.5385000000001</v>
      </c>
      <c r="V1183" s="48">
        <f>ROUND((M1183*I1179+1.3*M1183*K1179+S1183*H1179),4)</f>
        <v>1928.865</v>
      </c>
      <c r="W1183" s="48">
        <f>ROUND((L1183*J1179+1.3*L1183*N1179+S1183*G1179),4)</f>
        <v>32.07</v>
      </c>
      <c r="X1183" s="48">
        <f>ROUND((M1183*0.9*J1179+1.3*M1183*0.9*N1179+S1183*G1179),4)</f>
        <v>42.87</v>
      </c>
      <c r="Y1183" s="48">
        <f>ROUND((M1183*J1179+1.3*M1183*N1179+S1183*G1179),4)</f>
        <v>47.46</v>
      </c>
      <c r="Z1183" s="49">
        <f>ROUND((P1179*T1183*F1179*O1179/1000000),4)</f>
        <v>3.8600000000000002E-2</v>
      </c>
      <c r="AA1183" s="49">
        <f>ROUND((Q1179*U1183*F1179*O1179/1000000),4)</f>
        <v>0.1043</v>
      </c>
      <c r="AB1183" s="49">
        <f>ROUND((R1179*V1183*F1179*O1179/1000000),4)</f>
        <v>5.79E-2</v>
      </c>
      <c r="AC1183" s="50" t="s">
        <v>250</v>
      </c>
      <c r="AD1183" s="51" t="s">
        <v>208</v>
      </c>
      <c r="AE1183" s="44">
        <f>ROUND((((X1183*E1179)/1800)),4)</f>
        <v>2.3800000000000002E-2</v>
      </c>
      <c r="AF1183" s="44">
        <f>ROUND(((Z1183+AA1183+AB1183)),4)</f>
        <v>0.20080000000000001</v>
      </c>
    </row>
    <row r="1184" spans="1:32" ht="12.95" customHeight="1" x14ac:dyDescent="0.25">
      <c r="A1184" s="52"/>
      <c r="B1184" s="62"/>
      <c r="C1184" s="56"/>
      <c r="D1184" s="56"/>
      <c r="E1184" s="56"/>
      <c r="F1184" s="56"/>
      <c r="G1184" s="56"/>
      <c r="H1184" s="56"/>
      <c r="I1184" s="56"/>
      <c r="J1184" s="56"/>
      <c r="K1184" s="56"/>
      <c r="L1184" s="59">
        <v>5.3</v>
      </c>
      <c r="M1184" s="59">
        <v>6.47</v>
      </c>
      <c r="N1184" s="56"/>
      <c r="O1184" s="56"/>
      <c r="P1184" s="56"/>
      <c r="Q1184" s="56"/>
      <c r="R1184" s="56"/>
      <c r="S1184" s="61">
        <v>9.92</v>
      </c>
      <c r="T1184" s="48">
        <f>ROUND((L1184*I1179+1.3*L1184*K1179+S1184*H1179),4)</f>
        <v>6560.085</v>
      </c>
      <c r="U1184" s="48">
        <f>ROUND((M1184*0.9*I1179+1.3*M1184*0.9*K1179+S1184*H1179),4)</f>
        <v>7148.6953999999996</v>
      </c>
      <c r="V1184" s="48">
        <f>ROUND((M1184*I1179+1.3*M1184*K1179+S1184*H1179),4)</f>
        <v>7876.8615</v>
      </c>
      <c r="W1184" s="48">
        <f>ROUND((L1184*J1179+1.3*L1184*N1179+S1184*G1179),4)</f>
        <v>202.62</v>
      </c>
      <c r="X1184" s="48">
        <f>ROUND((M1184*0.9*J1179+1.3*M1184*0.9*N1179+S1184*G1179),4)</f>
        <v>216.74100000000001</v>
      </c>
      <c r="Y1184" s="48">
        <f>ROUND((M1184*J1179+1.3*M1184*N1179+S1184*G1179),4)</f>
        <v>234.21</v>
      </c>
      <c r="Z1184" s="49">
        <f>ROUND((P1179*T1184*F1179*O1179/1000000),4)</f>
        <v>0.1968</v>
      </c>
      <c r="AA1184" s="49">
        <f>ROUND((Q1179*U1184*F1179*O1179/1000000),4)</f>
        <v>0.4289</v>
      </c>
      <c r="AB1184" s="49">
        <f>ROUND((R1179*V1184*F1179*O1179/1000000),4)</f>
        <v>0.23630000000000001</v>
      </c>
      <c r="AC1184" s="50" t="s">
        <v>170</v>
      </c>
      <c r="AD1184" s="51" t="s">
        <v>162</v>
      </c>
      <c r="AE1184" s="44">
        <f>ROUND((((X1184*E1179)/1800)),4)</f>
        <v>0.12039999999999999</v>
      </c>
      <c r="AF1184" s="44">
        <f>ROUND(((Z1184+AA1184+AB1184)),4)</f>
        <v>0.86199999999999999</v>
      </c>
    </row>
    <row r="1185" spans="1:34" ht="12.95" customHeight="1" x14ac:dyDescent="0.25">
      <c r="A1185" s="52"/>
      <c r="B1185" s="67" t="s">
        <v>220</v>
      </c>
      <c r="C1185" s="46">
        <v>7</v>
      </c>
      <c r="D1185" s="45" t="s">
        <v>217</v>
      </c>
      <c r="E1185" s="45">
        <v>1</v>
      </c>
      <c r="F1185" s="45">
        <v>1</v>
      </c>
      <c r="G1185" s="45">
        <v>6</v>
      </c>
      <c r="H1185" s="45">
        <v>60</v>
      </c>
      <c r="I1185" s="45">
        <f>(8-1-0.75*2)*60*F1185-K1185-8*0.12*60</f>
        <v>57.900000000000006</v>
      </c>
      <c r="J1185" s="45">
        <v>14</v>
      </c>
      <c r="K1185" s="45">
        <f>(8-1-0.75*2)*0.65*60*F1185</f>
        <v>214.5</v>
      </c>
      <c r="L1185" s="48">
        <v>10.16</v>
      </c>
      <c r="M1185" s="48">
        <v>10.16</v>
      </c>
      <c r="N1185" s="45">
        <v>10</v>
      </c>
      <c r="O1185" s="45">
        <f>E1185/F1185</f>
        <v>1</v>
      </c>
      <c r="P1185" s="45">
        <v>30</v>
      </c>
      <c r="Q1185" s="45">
        <v>30</v>
      </c>
      <c r="R1185" s="47">
        <v>30</v>
      </c>
      <c r="S1185" s="47">
        <v>1.99</v>
      </c>
      <c r="T1185" s="48">
        <f>ROUND((L1185*I1185+1.3*L1185*K1185+S1185*H1185),4)</f>
        <v>3540.78</v>
      </c>
      <c r="U1185" s="48">
        <f>ROUND((M1185*I1185+1.3*M1185*K1185+S1185*H1185),4)</f>
        <v>3540.78</v>
      </c>
      <c r="V1185" s="48">
        <f>ROUND((M1185*I1185+1.3*M1185*K1185+S1185*H1185),4)</f>
        <v>3540.78</v>
      </c>
      <c r="W1185" s="48">
        <f>ROUND((L1185*J1185+1.3*L1185*N1185+S1185*G1185),4)</f>
        <v>286.26</v>
      </c>
      <c r="X1185" s="48">
        <f>ROUND((M1185*J1185+1.3*M1185*N1185+S1185*G1185),4)</f>
        <v>286.26</v>
      </c>
      <c r="Y1185" s="48">
        <f>ROUND((M1185*J1185+1.3*M1185*N1185+S1185*G1185),4)</f>
        <v>286.26</v>
      </c>
      <c r="Z1185" s="49">
        <f>ROUND((P1185*T1185*F1185*O1185/1000000),4)</f>
        <v>0.1062</v>
      </c>
      <c r="AA1185" s="49">
        <f>ROUND((Q1185*U1185*F1185*O1185/1000000),4)</f>
        <v>0.1062</v>
      </c>
      <c r="AB1185" s="49">
        <f>ROUND((R1185*V1185*F1185*O1185/1000000),4)</f>
        <v>0.1062</v>
      </c>
      <c r="AC1185" s="50" t="s">
        <v>200</v>
      </c>
      <c r="AD1185" s="51" t="s">
        <v>153</v>
      </c>
      <c r="AE1185" s="44">
        <f>ROUND((((X1185*E1185)/1800)*0.8),4)</f>
        <v>0.12720000000000001</v>
      </c>
      <c r="AF1185" s="44">
        <f>ROUND(((Z1185+AA1185+AB1185)*0.8),4)</f>
        <v>0.25490000000000002</v>
      </c>
    </row>
    <row r="1186" spans="1:34" ht="12.95" customHeight="1" x14ac:dyDescent="0.25">
      <c r="A1186" s="52"/>
      <c r="B1186" s="53" t="s">
        <v>222</v>
      </c>
      <c r="C1186" s="52"/>
      <c r="D1186" s="52"/>
      <c r="E1186" s="52"/>
      <c r="F1186" s="63"/>
      <c r="G1186" s="52"/>
      <c r="H1186" s="52"/>
      <c r="I1186" s="52"/>
      <c r="J1186" s="52"/>
      <c r="K1186" s="52"/>
      <c r="L1186" s="56"/>
      <c r="M1186" s="56"/>
      <c r="N1186" s="52"/>
      <c r="O1186" s="52"/>
      <c r="P1186" s="52"/>
      <c r="Q1186" s="52"/>
      <c r="R1186" s="52"/>
      <c r="S1186" s="57"/>
      <c r="T1186" s="54"/>
      <c r="U1186" s="54"/>
      <c r="V1186" s="54"/>
      <c r="W1186" s="54"/>
      <c r="X1186" s="54"/>
      <c r="Y1186" s="54"/>
      <c r="Z1186" s="54"/>
      <c r="AA1186" s="54"/>
      <c r="AB1186" s="54"/>
      <c r="AC1186" s="50" t="s">
        <v>201</v>
      </c>
      <c r="AD1186" s="51" t="s">
        <v>202</v>
      </c>
      <c r="AE1186" s="44">
        <f>ROUND((((X1185*E1185)/1800)*0.13),4)</f>
        <v>2.07E-2</v>
      </c>
      <c r="AF1186" s="44">
        <f>ROUND(((Z1185+AA1185+AB1185)*0.13),4)</f>
        <v>4.1399999999999999E-2</v>
      </c>
    </row>
    <row r="1187" spans="1:34" ht="12.95" customHeight="1" x14ac:dyDescent="0.25">
      <c r="A1187" s="52"/>
      <c r="B1187" s="88"/>
      <c r="C1187" s="55"/>
      <c r="D1187" s="55"/>
      <c r="E1187" s="52"/>
      <c r="F1187" s="63"/>
      <c r="G1187" s="52"/>
      <c r="H1187" s="52"/>
      <c r="I1187" s="52"/>
      <c r="J1187" s="52"/>
      <c r="K1187" s="52"/>
      <c r="L1187" s="59">
        <v>0.8</v>
      </c>
      <c r="M1187" s="59">
        <v>0.98</v>
      </c>
      <c r="N1187" s="52"/>
      <c r="O1187" s="52"/>
      <c r="P1187" s="52"/>
      <c r="Q1187" s="52"/>
      <c r="R1187" s="52"/>
      <c r="S1187" s="60">
        <v>0.39</v>
      </c>
      <c r="T1187" s="48">
        <f>ROUND((L1187*I1185+1.3*L1187*K1185+S1187*H1185),4)</f>
        <v>292.8</v>
      </c>
      <c r="U1187" s="48">
        <f>ROUND((M1187*0.9*I1185+1.3*M1187*0.9*K1185+S1187*H1185),4)</f>
        <v>320.4135</v>
      </c>
      <c r="V1187" s="48">
        <f>ROUND((M1187*I1185+1.3*M1187*K1185+S1187*H1185),4)</f>
        <v>353.41500000000002</v>
      </c>
      <c r="W1187" s="48">
        <f>ROUND((L1187*J1185+1.3*L1187*N1185+S1187*G1185),4)</f>
        <v>23.94</v>
      </c>
      <c r="X1187" s="48">
        <f>ROUND((M1187*0.9*J1185+1.3*M1187*0.9*N1185+S1187*G1185),4)</f>
        <v>26.154</v>
      </c>
      <c r="Y1187" s="48">
        <f>ROUND((M1187*J1185+1.3*M1187*N1185+S1187*G1185),4)</f>
        <v>28.8</v>
      </c>
      <c r="Z1187" s="49">
        <f>ROUND((P1185*T1187*F1185*O1185/1000000),4)</f>
        <v>8.8000000000000005E-3</v>
      </c>
      <c r="AA1187" s="49">
        <f>ROUND((Q1185*U1187*F1185*O1185/1000000),4)</f>
        <v>9.5999999999999992E-3</v>
      </c>
      <c r="AB1187" s="49">
        <f>ROUND((R1185*V1187*F1185*O1185/1000000),4)</f>
        <v>1.06E-2</v>
      </c>
      <c r="AC1187" s="50" t="s">
        <v>203</v>
      </c>
      <c r="AD1187" s="51" t="s">
        <v>204</v>
      </c>
      <c r="AE1187" s="44">
        <f>ROUND((((X1187*E1185)/1800)),4)</f>
        <v>1.4500000000000001E-2</v>
      </c>
      <c r="AF1187" s="44">
        <f>ROUND(((Z1187+AA1187+AB1187)),5)</f>
        <v>2.9000000000000001E-2</v>
      </c>
    </row>
    <row r="1188" spans="1:34" ht="12.95" customHeight="1" x14ac:dyDescent="0.25">
      <c r="A1188" s="52"/>
      <c r="B1188" s="88"/>
      <c r="C1188" s="52"/>
      <c r="D1188" s="52"/>
      <c r="E1188" s="52"/>
      <c r="F1188" s="63"/>
      <c r="G1188" s="52"/>
      <c r="H1188" s="52"/>
      <c r="I1188" s="52"/>
      <c r="J1188" s="52"/>
      <c r="K1188" s="52"/>
      <c r="L1188" s="59">
        <v>1.79</v>
      </c>
      <c r="M1188" s="59">
        <v>2.15</v>
      </c>
      <c r="N1188" s="52"/>
      <c r="O1188" s="52"/>
      <c r="P1188" s="52"/>
      <c r="Q1188" s="52"/>
      <c r="R1188" s="52"/>
      <c r="S1188" s="61">
        <v>1.24</v>
      </c>
      <c r="T1188" s="48">
        <f>ROUND((L1188*I1185+1.3*L1188*K1185+S1188*H1185),4)</f>
        <v>677.1825</v>
      </c>
      <c r="U1188" s="48">
        <f>ROUND((M1188*0.9*I1185+1.3*M1188*0.9*K1185+S1188*H1185),4)</f>
        <v>726.01130000000001</v>
      </c>
      <c r="V1188" s="48">
        <f>ROUND((M1188*I1185+1.3*M1188*K1185+S1188*H1185),4)</f>
        <v>798.41250000000002</v>
      </c>
      <c r="W1188" s="48">
        <f>ROUND((L1188*J1185+1.3*L1188*N1185+S1188*G1185),4)</f>
        <v>55.77</v>
      </c>
      <c r="X1188" s="48">
        <f>ROUND((M1188*0.9*J1185+1.3*M1188*0.9*N1185+S1188*G1185),4)</f>
        <v>59.685000000000002</v>
      </c>
      <c r="Y1188" s="48">
        <f>ROUND((M1188*J1185+1.3*N1185+S1188*G1185),4)</f>
        <v>50.54</v>
      </c>
      <c r="Z1188" s="49">
        <f>ROUND((P1185*T1188*F1185*O1185/1000000),4)</f>
        <v>2.0299999999999999E-2</v>
      </c>
      <c r="AA1188" s="49">
        <f>ROUND((Q1185*U1188*F1185*O1185/1000000),4)</f>
        <v>2.18E-2</v>
      </c>
      <c r="AB1188" s="49">
        <f>ROUND((R1185*V1188*F1185*O1185/1000000),4)</f>
        <v>2.4E-2</v>
      </c>
      <c r="AC1188" s="50" t="s">
        <v>205</v>
      </c>
      <c r="AD1188" s="51" t="s">
        <v>206</v>
      </c>
      <c r="AE1188" s="44">
        <f>ROUND((((X1188*E1185)/1800)),4)</f>
        <v>3.32E-2</v>
      </c>
      <c r="AF1188" s="44">
        <f>ROUND(((Z1188+AA1188+AB1188)),4)</f>
        <v>6.6100000000000006E-2</v>
      </c>
    </row>
    <row r="1189" spans="1:34" ht="12.95" customHeight="1" x14ac:dyDescent="0.25">
      <c r="A1189" s="52"/>
      <c r="B1189" s="53"/>
      <c r="C1189" s="52"/>
      <c r="D1189" s="52"/>
      <c r="E1189" s="52"/>
      <c r="F1189" s="63"/>
      <c r="G1189" s="52"/>
      <c r="H1189" s="52"/>
      <c r="I1189" s="52"/>
      <c r="J1189" s="52"/>
      <c r="K1189" s="52"/>
      <c r="L1189" s="59">
        <v>1.1299999999999999</v>
      </c>
      <c r="M1189" s="59">
        <v>1.7</v>
      </c>
      <c r="N1189" s="52"/>
      <c r="O1189" s="52"/>
      <c r="P1189" s="52"/>
      <c r="Q1189" s="52"/>
      <c r="R1189" s="52"/>
      <c r="S1189" s="61">
        <v>0.26</v>
      </c>
      <c r="T1189" s="48">
        <f>ROUND((L1189*I1185+1.3*L1189*K1185+S1189*H1185),4)</f>
        <v>396.1275</v>
      </c>
      <c r="U1189" s="48">
        <f>ROUND((M1189*0.9*I1185+1.3*M1189*0.9*K1185+S1189*H1185),4)</f>
        <v>530.82749999999999</v>
      </c>
      <c r="V1189" s="48">
        <f>ROUND((M1189*I1185+1.3*M1189*K1185+S1189*H1185),4)</f>
        <v>588.07500000000005</v>
      </c>
      <c r="W1189" s="48">
        <f>ROUND((L1189*J1185+1.3*L1189*N1185+S1189*G1185),4)</f>
        <v>32.07</v>
      </c>
      <c r="X1189" s="48">
        <f>ROUND((M1189*0.9*J1185+1.3*M1189*0.9*N1185+S1189*G1185),4)</f>
        <v>42.87</v>
      </c>
      <c r="Y1189" s="48">
        <f>ROUND((M1189*J1185+1.3*M1189*N1185+S1189*G1185),4)</f>
        <v>47.46</v>
      </c>
      <c r="Z1189" s="49">
        <f>ROUND((P1185*T1189*F1185*O1185/1000000),4)</f>
        <v>1.1900000000000001E-2</v>
      </c>
      <c r="AA1189" s="49">
        <f>ROUND((Q1185*U1189*F1185*O1185/1000000),4)</f>
        <v>1.5900000000000001E-2</v>
      </c>
      <c r="AB1189" s="49">
        <f>ROUND((R1185*V1189*F1185*O1185/1000000),4)</f>
        <v>1.7600000000000001E-2</v>
      </c>
      <c r="AC1189" s="50" t="s">
        <v>250</v>
      </c>
      <c r="AD1189" s="51" t="s">
        <v>208</v>
      </c>
      <c r="AE1189" s="44">
        <f>ROUND((((X1189*E1185)/1800)),4)</f>
        <v>2.3800000000000002E-2</v>
      </c>
      <c r="AF1189" s="44">
        <f>ROUND(((Z1189+AA1189+AB1189)),4)</f>
        <v>4.5400000000000003E-2</v>
      </c>
    </row>
    <row r="1190" spans="1:34" ht="12.95" customHeight="1" x14ac:dyDescent="0.25">
      <c r="A1190" s="52"/>
      <c r="B1190" s="62"/>
      <c r="C1190" s="56"/>
      <c r="D1190" s="56"/>
      <c r="E1190" s="56"/>
      <c r="F1190" s="66"/>
      <c r="G1190" s="56"/>
      <c r="H1190" s="56"/>
      <c r="I1190" s="56"/>
      <c r="J1190" s="56"/>
      <c r="K1190" s="56"/>
      <c r="L1190" s="59">
        <v>5.3</v>
      </c>
      <c r="M1190" s="59">
        <v>6.47</v>
      </c>
      <c r="N1190" s="56"/>
      <c r="O1190" s="56"/>
      <c r="P1190" s="56"/>
      <c r="Q1190" s="56"/>
      <c r="R1190" s="56"/>
      <c r="S1190" s="61">
        <v>9.92</v>
      </c>
      <c r="T1190" s="48">
        <f>ROUND((L1190*I1185+1.3*L1190*K1185+S1190*H1185),4)</f>
        <v>2379.9749999999999</v>
      </c>
      <c r="U1190" s="48">
        <f>ROUND((M1190*0.9*I1185+1.3*M1190*0.9*K1185+S1190*H1185),4)</f>
        <v>2556.0953</v>
      </c>
      <c r="V1190" s="48">
        <f>ROUND((M1190*I1185+1.3*M1190*K1185+S1190*H1185),4)</f>
        <v>2773.9724999999999</v>
      </c>
      <c r="W1190" s="48">
        <f>ROUND((L1190*J1185+1.3*L1190*N1185+S1190*G1185),4)</f>
        <v>202.62</v>
      </c>
      <c r="X1190" s="48">
        <f>ROUND((M1190*0.9*J1185+1.3*M1190*0.9*N1185+S1190*G1185),4)</f>
        <v>216.74100000000001</v>
      </c>
      <c r="Y1190" s="48">
        <f>ROUND((M1190*J1185+1.3*M1190*N1185+S1190*G1185),4)</f>
        <v>234.21</v>
      </c>
      <c r="Z1190" s="49">
        <f>ROUND((P1185*T1190*F1185*O1185/1000000),4)</f>
        <v>7.1400000000000005E-2</v>
      </c>
      <c r="AA1190" s="49">
        <f>ROUND((Q1185*U1190*F1185*O1185/1000000),4)</f>
        <v>7.6700000000000004E-2</v>
      </c>
      <c r="AB1190" s="49">
        <f>ROUND((R1185*V1190*F1185*O1185/1000000),4)</f>
        <v>8.3199999999999996E-2</v>
      </c>
      <c r="AC1190" s="50" t="s">
        <v>170</v>
      </c>
      <c r="AD1190" s="51" t="s">
        <v>162</v>
      </c>
      <c r="AE1190" s="44">
        <f>ROUND((((X1190*E1185)/1800)),4)</f>
        <v>0.12039999999999999</v>
      </c>
      <c r="AF1190" s="44">
        <f>ROUND(((Z1190+AA1190+AB1190)),4)</f>
        <v>0.23130000000000001</v>
      </c>
    </row>
    <row r="1191" spans="1:34" ht="12.95" customHeight="1" x14ac:dyDescent="0.25">
      <c r="A1191" s="52"/>
      <c r="B1191" s="67" t="s">
        <v>223</v>
      </c>
      <c r="C1191" s="46">
        <v>1</v>
      </c>
      <c r="D1191" s="45" t="s">
        <v>225</v>
      </c>
      <c r="E1191" s="45">
        <v>1</v>
      </c>
      <c r="F1191" s="45">
        <v>1</v>
      </c>
      <c r="G1191" s="45">
        <v>6</v>
      </c>
      <c r="H1191" s="45">
        <v>60</v>
      </c>
      <c r="I1191" s="45">
        <f>(8-1-0.75*2)*60*F1191-K1191-8*0.12*60</f>
        <v>57.900000000000006</v>
      </c>
      <c r="J1191" s="45">
        <v>14</v>
      </c>
      <c r="K1191" s="45">
        <f>(8-1-0.75*2)*0.65*60*F1191</f>
        <v>214.5</v>
      </c>
      <c r="L1191" s="48">
        <v>0.47</v>
      </c>
      <c r="M1191" s="48">
        <v>0.47</v>
      </c>
      <c r="N1191" s="45">
        <v>10</v>
      </c>
      <c r="O1191" s="45">
        <f>E1191/F1191</f>
        <v>1</v>
      </c>
      <c r="P1191" s="45">
        <v>30</v>
      </c>
      <c r="Q1191" s="45">
        <v>60</v>
      </c>
      <c r="R1191" s="47">
        <v>0</v>
      </c>
      <c r="S1191" s="47">
        <v>0.09</v>
      </c>
      <c r="T1191" s="48">
        <f>ROUND((L1191*I1191+1.3*L1191*K1191+S1191*H1191),4)</f>
        <v>163.67250000000001</v>
      </c>
      <c r="U1191" s="48">
        <f>ROUND((M1191*I1191+1.3*M1191*K1191+S1191*H1191),4)</f>
        <v>163.67250000000001</v>
      </c>
      <c r="V1191" s="48">
        <f>ROUND((M1191*I1191+1.3*M1191*K1191+S1191*H1191),4)</f>
        <v>163.67250000000001</v>
      </c>
      <c r="W1191" s="48">
        <f>ROUND((L1191*J1191+1.3*L1191*N1191+S1191*G1191),4)</f>
        <v>13.23</v>
      </c>
      <c r="X1191" s="48">
        <f>ROUND((M1191*J1191+1.3*M1191*N1191+S1191*G1191),4)</f>
        <v>13.23</v>
      </c>
      <c r="Y1191" s="48">
        <f>ROUND((M1191*J1191+1.3*M1191*N1191+S1191*G1191),4)</f>
        <v>13.23</v>
      </c>
      <c r="Z1191" s="49">
        <f>ROUND((P1191*T1191*F1191*O1191/1000000),4)</f>
        <v>4.8999999999999998E-3</v>
      </c>
      <c r="AA1191" s="49">
        <f>ROUND((Q1191*U1191*F1191*O1191/1000000),4)</f>
        <v>9.7999999999999997E-3</v>
      </c>
      <c r="AB1191" s="49">
        <f>ROUND((R1191*V1191*F1191*O1191/1000000),4)</f>
        <v>0</v>
      </c>
      <c r="AC1191" s="50" t="s">
        <v>200</v>
      </c>
      <c r="AD1191" s="51" t="s">
        <v>153</v>
      </c>
      <c r="AE1191" s="44">
        <f>ROUND((((X1191*E1191)/1800)*0.8),4)</f>
        <v>5.8999999999999999E-3</v>
      </c>
      <c r="AF1191" s="44">
        <f>ROUND(((Z1191+AA1191+AB1191)*0.8),4)</f>
        <v>1.18E-2</v>
      </c>
      <c r="AG1191" s="88"/>
      <c r="AH1191" s="88"/>
    </row>
    <row r="1192" spans="1:34" ht="12.95" customHeight="1" x14ac:dyDescent="0.25">
      <c r="A1192" s="52"/>
      <c r="B1192" s="53" t="s">
        <v>224</v>
      </c>
      <c r="C1192" s="52"/>
      <c r="D1192" s="52"/>
      <c r="E1192" s="52"/>
      <c r="F1192" s="63"/>
      <c r="G1192" s="52"/>
      <c r="H1192" s="52"/>
      <c r="I1192" s="52"/>
      <c r="J1192" s="52"/>
      <c r="K1192" s="52"/>
      <c r="L1192" s="56"/>
      <c r="M1192" s="56"/>
      <c r="N1192" s="52"/>
      <c r="O1192" s="52"/>
      <c r="P1192" s="52"/>
      <c r="Q1192" s="52"/>
      <c r="R1192" s="52"/>
      <c r="S1192" s="57"/>
      <c r="T1192" s="54"/>
      <c r="U1192" s="54"/>
      <c r="V1192" s="54"/>
      <c r="W1192" s="54"/>
      <c r="X1192" s="54"/>
      <c r="Y1192" s="54"/>
      <c r="Z1192" s="54"/>
      <c r="AA1192" s="54"/>
      <c r="AB1192" s="54"/>
      <c r="AC1192" s="50" t="s">
        <v>201</v>
      </c>
      <c r="AD1192" s="51" t="s">
        <v>202</v>
      </c>
      <c r="AE1192" s="44">
        <f>ROUND((((X1191*E1191)/1800)*0.13),4)</f>
        <v>1E-3</v>
      </c>
      <c r="AF1192" s="44">
        <f>ROUND(((Z1191+AA1191+AB1191)*0.13),4)</f>
        <v>1.9E-3</v>
      </c>
      <c r="AG1192" s="88"/>
      <c r="AH1192" s="88"/>
    </row>
    <row r="1193" spans="1:34" ht="12.95" customHeight="1" x14ac:dyDescent="0.25">
      <c r="A1193" s="52"/>
      <c r="B1193" s="88"/>
      <c r="C1193" s="55"/>
      <c r="D1193" s="55"/>
      <c r="E1193" s="52"/>
      <c r="F1193" s="63"/>
      <c r="G1193" s="52"/>
      <c r="H1193" s="52"/>
      <c r="I1193" s="52"/>
      <c r="J1193" s="52"/>
      <c r="K1193" s="52"/>
      <c r="L1193" s="59">
        <v>0.8</v>
      </c>
      <c r="M1193" s="59">
        <v>0.98</v>
      </c>
      <c r="N1193" s="52"/>
      <c r="O1193" s="52"/>
      <c r="P1193" s="52"/>
      <c r="Q1193" s="52"/>
      <c r="R1193" s="52"/>
      <c r="S1193" s="60">
        <v>1.7999999999999999E-2</v>
      </c>
      <c r="T1193" s="48">
        <f>ROUND((L1193*I1191+1.3*L1193*K1191+S1193*H1191),4)</f>
        <v>270.48</v>
      </c>
      <c r="U1193" s="48">
        <f>ROUND((M1193*0.9*I1191+1.3*M1193*0.9*K1191+S1193*H1191),4)</f>
        <v>298.09350000000001</v>
      </c>
      <c r="V1193" s="48">
        <f>ROUND((M1193*I1191+1.3*M1193*K1191+S1193*H1191),4)</f>
        <v>331.09500000000003</v>
      </c>
      <c r="W1193" s="48">
        <f>ROUND((L1193*J1191+1.3*L1193*N1191+S1193*G1191),4)</f>
        <v>21.707999999999998</v>
      </c>
      <c r="X1193" s="48">
        <f>ROUND((M1193*0.9*J1191+1.3*M1193*0.9*N1191+S1193*G1191),4)</f>
        <v>23.922000000000001</v>
      </c>
      <c r="Y1193" s="48">
        <f>ROUND((M1193*J1191+1.3*M1193*N1191+S1193*G1191),4)</f>
        <v>26.568000000000001</v>
      </c>
      <c r="Z1193" s="49">
        <f>ROUND((P1191*T1193*F1191*O1191/1000000),4)</f>
        <v>8.0999999999999996E-3</v>
      </c>
      <c r="AA1193" s="49">
        <f>ROUND((Q1191*U1193*F1191*O1191/1000000),4)</f>
        <v>1.7899999999999999E-2</v>
      </c>
      <c r="AB1193" s="49">
        <f>ROUND((R1191*V1193*F1191*O1191/1000000),4)</f>
        <v>0</v>
      </c>
      <c r="AC1193" s="50" t="s">
        <v>203</v>
      </c>
      <c r="AD1193" s="51" t="s">
        <v>204</v>
      </c>
      <c r="AE1193" s="44">
        <f>ROUND((((X1193*E1191)/1800)),4)</f>
        <v>1.3299999999999999E-2</v>
      </c>
      <c r="AF1193" s="44">
        <f>ROUND(((Z1193+AA1193+AB1193)),5)</f>
        <v>2.5999999999999999E-2</v>
      </c>
      <c r="AG1193" s="88"/>
      <c r="AH1193" s="88"/>
    </row>
    <row r="1194" spans="1:34" ht="12.95" customHeight="1" x14ac:dyDescent="0.25">
      <c r="A1194" s="52"/>
      <c r="B1194" s="88"/>
      <c r="C1194" s="52"/>
      <c r="D1194" s="52"/>
      <c r="E1194" s="52"/>
      <c r="F1194" s="63"/>
      <c r="G1194" s="52"/>
      <c r="H1194" s="52"/>
      <c r="I1194" s="52"/>
      <c r="J1194" s="52"/>
      <c r="K1194" s="52"/>
      <c r="L1194" s="59">
        <v>0.08</v>
      </c>
      <c r="M1194" s="59">
        <v>0.1</v>
      </c>
      <c r="N1194" s="52"/>
      <c r="O1194" s="52"/>
      <c r="P1194" s="52"/>
      <c r="Q1194" s="52"/>
      <c r="R1194" s="52"/>
      <c r="S1194" s="61">
        <v>0.06</v>
      </c>
      <c r="T1194" s="48">
        <f>ROUND((L1194*I1191+1.3*L1194*K1191+S1194*H1191),4)</f>
        <v>30.54</v>
      </c>
      <c r="U1194" s="48">
        <f>ROUND((M1194*0.9*I1191+1.3*M1194*0.9*K1191+S1194*H1191),4)</f>
        <v>33.907499999999999</v>
      </c>
      <c r="V1194" s="48">
        <f>ROUND((M1194*I1191+1.3*M1194*K1191+S1194*H1191),4)</f>
        <v>37.274999999999999</v>
      </c>
      <c r="W1194" s="48">
        <f>ROUND((L1194*J1191+1.3*L1194*N1191+S1194*G1191),4)</f>
        <v>2.52</v>
      </c>
      <c r="X1194" s="48">
        <f>ROUND((M1194*0.9*J1191+1.3*M1194*0.9*N1191+S1194*G1191),4)</f>
        <v>2.79</v>
      </c>
      <c r="Y1194" s="48">
        <f>ROUND((M1194*J1191+1.3*N1191+S1194*G1191),4)</f>
        <v>14.76</v>
      </c>
      <c r="Z1194" s="49">
        <f>ROUND((P1191*T1194*F1191*O1191/1000000),4)</f>
        <v>8.9999999999999998E-4</v>
      </c>
      <c r="AA1194" s="49">
        <f>ROUND((Q1191*U1194*F1191*O1191/1000000),4)</f>
        <v>2E-3</v>
      </c>
      <c r="AB1194" s="49">
        <f>ROUND((R1191*V1194*F1191*O1191/1000000),4)</f>
        <v>0</v>
      </c>
      <c r="AC1194" s="50" t="s">
        <v>205</v>
      </c>
      <c r="AD1194" s="51" t="s">
        <v>206</v>
      </c>
      <c r="AE1194" s="44">
        <f>ROUND((((X1194*E1191)/1800)),4)</f>
        <v>1.6000000000000001E-3</v>
      </c>
      <c r="AF1194" s="44">
        <f>ROUND(((Z1194+AA1194+AB1194)),4)</f>
        <v>2.8999999999999998E-3</v>
      </c>
      <c r="AG1194" s="88"/>
      <c r="AH1194" s="88"/>
    </row>
    <row r="1195" spans="1:34" ht="12.95" customHeight="1" x14ac:dyDescent="0.25">
      <c r="A1195" s="52"/>
      <c r="B1195" s="53"/>
      <c r="C1195" s="52"/>
      <c r="D1195" s="52"/>
      <c r="E1195" s="52"/>
      <c r="F1195" s="63"/>
      <c r="G1195" s="52"/>
      <c r="H1195" s="52"/>
      <c r="I1195" s="52"/>
      <c r="J1195" s="52"/>
      <c r="K1195" s="52"/>
      <c r="L1195" s="59">
        <v>0.05</v>
      </c>
      <c r="M1195" s="59">
        <v>7.0000000000000007E-2</v>
      </c>
      <c r="N1195" s="52"/>
      <c r="O1195" s="52"/>
      <c r="P1195" s="52"/>
      <c r="Q1195" s="52"/>
      <c r="R1195" s="52"/>
      <c r="S1195" s="61">
        <v>0.01</v>
      </c>
      <c r="T1195" s="48">
        <f>ROUND((L1195*I1191+1.3*L1195*K1191+S1195*H1191),4)</f>
        <v>17.4375</v>
      </c>
      <c r="U1195" s="48">
        <f>ROUND((M1195*0.9*I1191+1.3*M1195*0.9*K1191+S1195*H1191),4)</f>
        <v>21.815300000000001</v>
      </c>
      <c r="V1195" s="48">
        <f>ROUND((M1195*I1191+1.3*M1195*K1191+S1195*H1191),4)</f>
        <v>24.172499999999999</v>
      </c>
      <c r="W1195" s="48">
        <f>ROUND((L1195*J1191+1.3*L1195*N1191+S1195*G1191),4)</f>
        <v>1.41</v>
      </c>
      <c r="X1195" s="48">
        <f>ROUND((M1195*0.9*J1191+1.3*M1195*0.9*N1191+S1195*G1191),4)</f>
        <v>1.7609999999999999</v>
      </c>
      <c r="Y1195" s="48">
        <f>ROUND((M1195*J1191+1.3*M1195*N1191+S1195*G1191),4)</f>
        <v>1.95</v>
      </c>
      <c r="Z1195" s="49">
        <f>ROUND((P1191*T1195*F1191*O1191/1000000),4)</f>
        <v>5.0000000000000001E-4</v>
      </c>
      <c r="AA1195" s="49">
        <f>ROUND((Q1191*U1195*F1191*O1191/1000000),4)</f>
        <v>1.2999999999999999E-3</v>
      </c>
      <c r="AB1195" s="49">
        <f>ROUND((R1191*V1195*F1191*O1191/1000000),4)</f>
        <v>0</v>
      </c>
      <c r="AC1195" s="50" t="s">
        <v>250</v>
      </c>
      <c r="AD1195" s="51" t="s">
        <v>208</v>
      </c>
      <c r="AE1195" s="44">
        <f>ROUND((((X1195*E1191)/1800)),4)</f>
        <v>1E-3</v>
      </c>
      <c r="AF1195" s="44">
        <f>ROUND(((Z1195+AA1195+AB1195)),4)</f>
        <v>1.8E-3</v>
      </c>
      <c r="AG1195" s="88"/>
      <c r="AH1195" s="88"/>
    </row>
    <row r="1196" spans="1:34" ht="12.95" customHeight="1" x14ac:dyDescent="0.25">
      <c r="A1196" s="52"/>
      <c r="B1196" s="62"/>
      <c r="C1196" s="56"/>
      <c r="D1196" s="56"/>
      <c r="E1196" s="56"/>
      <c r="F1196" s="66"/>
      <c r="G1196" s="56"/>
      <c r="H1196" s="56"/>
      <c r="I1196" s="56"/>
      <c r="J1196" s="56"/>
      <c r="K1196" s="56"/>
      <c r="L1196" s="59">
        <v>3.5999999999999997E-2</v>
      </c>
      <c r="M1196" s="59">
        <v>4.3999999999999997E-2</v>
      </c>
      <c r="N1196" s="56"/>
      <c r="O1196" s="56"/>
      <c r="P1196" s="56"/>
      <c r="Q1196" s="56"/>
      <c r="R1196" s="56"/>
      <c r="S1196" s="61">
        <v>0.45</v>
      </c>
      <c r="T1196" s="48">
        <f>ROUND((L1196*I1191+1.3*L1196*K1191+S1196*H1191),4)</f>
        <v>39.122999999999998</v>
      </c>
      <c r="U1196" s="48">
        <f>ROUND((M1196*0.9*I1191+1.3*M1196*0.9*K1191+S1196*H1191),4)</f>
        <v>40.335299999999997</v>
      </c>
      <c r="V1196" s="48">
        <f>ROUND((M1196*I1191+1.3*M1196*K1191+S1196*H1191),4)</f>
        <v>41.817</v>
      </c>
      <c r="W1196" s="48">
        <f>ROUND((L1196*J1191+1.3*L1196*N1191+S1196*G1191),4)</f>
        <v>3.6720000000000002</v>
      </c>
      <c r="X1196" s="48">
        <f>ROUND((M1196*0.9*J1191+1.3*M1196*0.9*N1191+S1196*G1191),4)</f>
        <v>3.7692000000000001</v>
      </c>
      <c r="Y1196" s="48">
        <f>ROUND((M1196*J1191+1.3*M1196*N1191+S1196*G1191),4)</f>
        <v>3.8879999999999999</v>
      </c>
      <c r="Z1196" s="49">
        <f>ROUND((P1191*T1196*F1191*O1191/1000000),4)</f>
        <v>1.1999999999999999E-3</v>
      </c>
      <c r="AA1196" s="49">
        <f>ROUND((Q1191*U1196*F1191*O1191/1000000),4)</f>
        <v>2.3999999999999998E-3</v>
      </c>
      <c r="AB1196" s="49">
        <f>ROUND((R1191*V1196*F1191*O1191/1000000),4)</f>
        <v>0</v>
      </c>
      <c r="AC1196" s="50" t="s">
        <v>170</v>
      </c>
      <c r="AD1196" s="51" t="s">
        <v>162</v>
      </c>
      <c r="AE1196" s="44">
        <f>ROUND((((X1196*E1191)/1800)),4)</f>
        <v>2.0999999999999999E-3</v>
      </c>
      <c r="AF1196" s="44">
        <f>ROUND(((Z1196+AA1196+AB1196)),4)</f>
        <v>3.5999999999999999E-3</v>
      </c>
      <c r="AG1196" s="88"/>
      <c r="AH1196" s="88"/>
    </row>
    <row r="1197" spans="1:34" ht="12.95" customHeight="1" x14ac:dyDescent="0.25">
      <c r="A1197" s="52"/>
      <c r="B1197" s="67" t="s">
        <v>242</v>
      </c>
      <c r="C1197" s="46">
        <v>3</v>
      </c>
      <c r="D1197" s="45" t="s">
        <v>228</v>
      </c>
      <c r="E1197" s="45">
        <v>1</v>
      </c>
      <c r="F1197" s="45">
        <v>1</v>
      </c>
      <c r="G1197" s="45">
        <v>6</v>
      </c>
      <c r="H1197" s="45">
        <v>60</v>
      </c>
      <c r="I1197" s="45">
        <f>(8-1-0.75*2)*60*F1197-K1197-8*0.12*60</f>
        <v>57.900000000000006</v>
      </c>
      <c r="J1197" s="45">
        <v>14</v>
      </c>
      <c r="K1197" s="45">
        <f>(8-1-0.75*2)*0.65*60*F1197</f>
        <v>214.5</v>
      </c>
      <c r="L1197" s="48">
        <v>1.49</v>
      </c>
      <c r="M1197" s="48">
        <v>1.49</v>
      </c>
      <c r="N1197" s="45">
        <v>10</v>
      </c>
      <c r="O1197" s="45">
        <f>E1197/F1197</f>
        <v>1</v>
      </c>
      <c r="P1197" s="45">
        <v>30</v>
      </c>
      <c r="Q1197" s="45">
        <v>60</v>
      </c>
      <c r="R1197" s="47">
        <v>60</v>
      </c>
      <c r="S1197" s="47">
        <v>0.28999999999999998</v>
      </c>
      <c r="T1197" s="48">
        <f>ROUND((L1197*I1197+1.3*L1197*K1197+S1197*H1197),4)</f>
        <v>519.15750000000003</v>
      </c>
      <c r="U1197" s="48">
        <f>ROUND((M1197*I1197+1.3*M1197*K1197+S1197*H1197),4)</f>
        <v>519.15750000000003</v>
      </c>
      <c r="V1197" s="48">
        <f>ROUND((M1197*I1197+1.3*M1197*K1197+S1197*H1197),4)</f>
        <v>519.15750000000003</v>
      </c>
      <c r="W1197" s="48">
        <f>ROUND((L1197*J1197+1.3*L1197*N1197+S1197*G1197),4)</f>
        <v>41.97</v>
      </c>
      <c r="X1197" s="48">
        <f>ROUND((M1197*J1197+1.3*M1197*N1197+S1197*G1197),4)</f>
        <v>41.97</v>
      </c>
      <c r="Y1197" s="48">
        <f>ROUND((M1197*J1197+1.3*M1197*N1197+S1197*G1197),4)</f>
        <v>41.97</v>
      </c>
      <c r="Z1197" s="49">
        <f>ROUND((P1197*T1197*F1197*O1197/1000000),4)</f>
        <v>1.5599999999999999E-2</v>
      </c>
      <c r="AA1197" s="49">
        <f>ROUND((Q1197*U1197*F1197*O1197/1000000),4)</f>
        <v>3.1099999999999999E-2</v>
      </c>
      <c r="AB1197" s="49">
        <f>ROUND((R1197*V1197*F1197*O1197/1000000),4)</f>
        <v>3.1099999999999999E-2</v>
      </c>
      <c r="AC1197" s="50" t="s">
        <v>200</v>
      </c>
      <c r="AD1197" s="51" t="s">
        <v>153</v>
      </c>
      <c r="AE1197" s="44">
        <f>ROUND((((X1197*E1197)/1800)*0.8),4)</f>
        <v>1.8700000000000001E-2</v>
      </c>
      <c r="AF1197" s="44">
        <f>ROUND(((Z1197+AA1197+AB1197)*0.8),4)</f>
        <v>6.2199999999999998E-2</v>
      </c>
      <c r="AG1197" s="88"/>
      <c r="AH1197" s="88"/>
    </row>
    <row r="1198" spans="1:34" ht="12.95" customHeight="1" x14ac:dyDescent="0.25">
      <c r="A1198" s="52"/>
      <c r="B1198" s="53" t="s">
        <v>243</v>
      </c>
      <c r="C1198" s="52"/>
      <c r="D1198" s="52"/>
      <c r="E1198" s="52"/>
      <c r="F1198" s="63"/>
      <c r="G1198" s="52"/>
      <c r="H1198" s="52"/>
      <c r="I1198" s="52"/>
      <c r="J1198" s="52"/>
      <c r="K1198" s="52"/>
      <c r="L1198" s="56"/>
      <c r="M1198" s="56"/>
      <c r="N1198" s="52"/>
      <c r="O1198" s="52"/>
      <c r="P1198" s="52"/>
      <c r="Q1198" s="52"/>
      <c r="R1198" s="52"/>
      <c r="S1198" s="57"/>
      <c r="T1198" s="54"/>
      <c r="U1198" s="54"/>
      <c r="V1198" s="54"/>
      <c r="W1198" s="54"/>
      <c r="X1198" s="54"/>
      <c r="Y1198" s="54"/>
      <c r="Z1198" s="54"/>
      <c r="AA1198" s="54"/>
      <c r="AB1198" s="54"/>
      <c r="AC1198" s="50" t="s">
        <v>201</v>
      </c>
      <c r="AD1198" s="51" t="s">
        <v>202</v>
      </c>
      <c r="AE1198" s="44">
        <f>ROUND((((X1197*E1197)/1800)*0.13),4)</f>
        <v>3.0000000000000001E-3</v>
      </c>
      <c r="AF1198" s="44">
        <f>ROUND(((Z1197+AA1197+AB1197)*0.13),4)</f>
        <v>1.01E-2</v>
      </c>
      <c r="AG1198" s="88"/>
      <c r="AH1198" s="88"/>
    </row>
    <row r="1199" spans="1:34" ht="12.95" customHeight="1" x14ac:dyDescent="0.25">
      <c r="A1199" s="52"/>
      <c r="B1199" s="88"/>
      <c r="C1199" s="55"/>
      <c r="D1199" s="55"/>
      <c r="E1199" s="52"/>
      <c r="F1199" s="63"/>
      <c r="G1199" s="52"/>
      <c r="H1199" s="52"/>
      <c r="I1199" s="52"/>
      <c r="J1199" s="52"/>
      <c r="K1199" s="52"/>
      <c r="L1199" s="59">
        <v>0.12</v>
      </c>
      <c r="M1199" s="59">
        <v>0.15</v>
      </c>
      <c r="N1199" s="52"/>
      <c r="O1199" s="52"/>
      <c r="P1199" s="52"/>
      <c r="Q1199" s="52"/>
      <c r="R1199" s="52"/>
      <c r="S1199" s="60">
        <v>5.8000000000000003E-2</v>
      </c>
      <c r="T1199" s="48">
        <f>ROUND((L1199*I1197+1.3*L1199*K1197+S1199*H1197),4)</f>
        <v>43.89</v>
      </c>
      <c r="U1199" s="48">
        <f>ROUND((M1199*0.9*I1197+1.3*M1199*0.9*K1197+S1199*H1197),4)</f>
        <v>48.941299999999998</v>
      </c>
      <c r="V1199" s="48">
        <f>ROUND((M1199*I1197+1.3*M1199*K1197+S1199*H1197),4)</f>
        <v>53.9925</v>
      </c>
      <c r="W1199" s="48">
        <f>ROUND((L1199*J1197+1.3*L1199*N1197+S1199*G1197),4)</f>
        <v>3.5880000000000001</v>
      </c>
      <c r="X1199" s="48">
        <f>ROUND((M1199*0.9*J1197+1.3*M1199*0.9*N1197+S1199*G1197),4)</f>
        <v>3.9929999999999999</v>
      </c>
      <c r="Y1199" s="48">
        <f>ROUND((M1199*J1197+1.3*M1199*N1197+S1199*G1197),4)</f>
        <v>4.3979999999999997</v>
      </c>
      <c r="Z1199" s="49">
        <f>ROUND((P1197*T1199*F1197*O1197/1000000),4)</f>
        <v>1.2999999999999999E-3</v>
      </c>
      <c r="AA1199" s="49">
        <f>ROUND((Q1197*U1199*F1197*O1197/1000000),4)</f>
        <v>2.8999999999999998E-3</v>
      </c>
      <c r="AB1199" s="49">
        <f>ROUND((R1197*V1199*F1197*O1197/1000000),4)</f>
        <v>3.2000000000000002E-3</v>
      </c>
      <c r="AC1199" s="50" t="s">
        <v>203</v>
      </c>
      <c r="AD1199" s="51" t="s">
        <v>204</v>
      </c>
      <c r="AE1199" s="44">
        <f>ROUND((((X1199*E1197)/1800)),4)</f>
        <v>2.2000000000000001E-3</v>
      </c>
      <c r="AF1199" s="44">
        <f>ROUND(((Z1199+AA1199+AB1199)),5)</f>
        <v>7.4000000000000003E-3</v>
      </c>
      <c r="AG1199" s="88"/>
      <c r="AH1199" s="88"/>
    </row>
    <row r="1200" spans="1:34" ht="12.95" customHeight="1" x14ac:dyDescent="0.25">
      <c r="A1200" s="52"/>
      <c r="B1200" s="88"/>
      <c r="C1200" s="52"/>
      <c r="D1200" s="52"/>
      <c r="E1200" s="52"/>
      <c r="F1200" s="63"/>
      <c r="G1200" s="52"/>
      <c r="H1200" s="52"/>
      <c r="I1200" s="52"/>
      <c r="J1200" s="52"/>
      <c r="K1200" s="52"/>
      <c r="L1200" s="59">
        <v>0.26</v>
      </c>
      <c r="M1200" s="59">
        <v>0.31</v>
      </c>
      <c r="N1200" s="52"/>
      <c r="O1200" s="52"/>
      <c r="P1200" s="52"/>
      <c r="Q1200" s="52"/>
      <c r="R1200" s="52"/>
      <c r="S1200" s="61">
        <v>0.18</v>
      </c>
      <c r="T1200" s="48">
        <f>ROUND((L1200*I1197+1.3*L1200*K1197+S1200*H1197),4)</f>
        <v>98.355000000000004</v>
      </c>
      <c r="U1200" s="48">
        <f>ROUND((M1200*0.9*I1197+1.3*M1200*0.9*K1197+S1200*H1197),4)</f>
        <v>104.7533</v>
      </c>
      <c r="V1200" s="48">
        <f>ROUND((M1200*I1197+1.3*M1200*K1197+S1200*H1197),4)</f>
        <v>115.1925</v>
      </c>
      <c r="W1200" s="48">
        <f>ROUND((L1200*J1197+1.3*L1200*N1197+S1200*G1197),4)</f>
        <v>8.1</v>
      </c>
      <c r="X1200" s="48">
        <f>ROUND((M1200*0.9*J1197+1.3*M1200*0.9*N1197+S1200*G1197),4)</f>
        <v>8.6129999999999995</v>
      </c>
      <c r="Y1200" s="48">
        <f>ROUND((M1200*J1197+1.3*N1197+S1200*G1197),4)</f>
        <v>18.420000000000002</v>
      </c>
      <c r="Z1200" s="49">
        <f>ROUND((P1197*T1200*F1197*O1197/1000000),4)</f>
        <v>3.0000000000000001E-3</v>
      </c>
      <c r="AA1200" s="49">
        <f>ROUND((Q1197*U1200*F1197*O1197/1000000),4)</f>
        <v>6.3E-3</v>
      </c>
      <c r="AB1200" s="49">
        <f>ROUND((R1197*V1200*F1197*O1197/1000000),4)</f>
        <v>6.8999999999999999E-3</v>
      </c>
      <c r="AC1200" s="50" t="s">
        <v>205</v>
      </c>
      <c r="AD1200" s="51" t="s">
        <v>206</v>
      </c>
      <c r="AE1200" s="44">
        <f>ROUND((((X1200*E1197)/1800)),4)</f>
        <v>4.7999999999999996E-3</v>
      </c>
      <c r="AF1200" s="44">
        <f>ROUND(((Z1200+AA1200+AB1200)),4)</f>
        <v>1.6199999999999999E-2</v>
      </c>
      <c r="AG1200" s="88"/>
      <c r="AH1200" s="88"/>
    </row>
    <row r="1201" spans="1:34" ht="12.95" customHeight="1" x14ac:dyDescent="0.25">
      <c r="A1201" s="52"/>
      <c r="B1201" s="53"/>
      <c r="C1201" s="52"/>
      <c r="D1201" s="52"/>
      <c r="E1201" s="52"/>
      <c r="F1201" s="63"/>
      <c r="G1201" s="52"/>
      <c r="H1201" s="52"/>
      <c r="I1201" s="52"/>
      <c r="J1201" s="52"/>
      <c r="K1201" s="52"/>
      <c r="L1201" s="59">
        <v>0.17</v>
      </c>
      <c r="M1201" s="59">
        <v>0.25</v>
      </c>
      <c r="N1201" s="52"/>
      <c r="O1201" s="52"/>
      <c r="P1201" s="52"/>
      <c r="Q1201" s="52"/>
      <c r="R1201" s="52"/>
      <c r="S1201" s="61">
        <v>0.04</v>
      </c>
      <c r="T1201" s="48">
        <f>ROUND((L1201*I1197+1.3*L1201*K1197+S1201*H1197),4)</f>
        <v>59.647500000000001</v>
      </c>
      <c r="U1201" s="48">
        <f>ROUND((M1201*0.9*I1197+1.3*M1201*0.9*K1197+S1201*H1197),4)</f>
        <v>78.168800000000005</v>
      </c>
      <c r="V1201" s="48">
        <f>ROUND((M1201*I1197+1.3*M1201*K1197+S1201*H1197),4)</f>
        <v>86.587500000000006</v>
      </c>
      <c r="W1201" s="48">
        <f>ROUND((L1201*J1197+1.3*L1201*N1197+S1201*G1197),4)</f>
        <v>4.83</v>
      </c>
      <c r="X1201" s="48">
        <f>ROUND((M1201*0.9*J1197+1.3*M1201*0.9*N1197+S1201*G1197),4)</f>
        <v>6.3150000000000004</v>
      </c>
      <c r="Y1201" s="48">
        <f>ROUND((M1201*J1197+1.3*M1201*N1197+S1201*G1197),4)</f>
        <v>6.99</v>
      </c>
      <c r="Z1201" s="49">
        <f>ROUND((P1197*T1201*F1197*O1197/1000000),4)</f>
        <v>1.8E-3</v>
      </c>
      <c r="AA1201" s="49">
        <f>ROUND((Q1197*U1201*F1197*O1197/1000000),4)</f>
        <v>4.7000000000000002E-3</v>
      </c>
      <c r="AB1201" s="49">
        <f>ROUND((R1197*V1201*F1197*O1197/1000000),4)</f>
        <v>5.1999999999999998E-3</v>
      </c>
      <c r="AC1201" s="50" t="s">
        <v>250</v>
      </c>
      <c r="AD1201" s="51" t="s">
        <v>208</v>
      </c>
      <c r="AE1201" s="44">
        <f>ROUND((((X1201*E1197)/1800)),4)</f>
        <v>3.5000000000000001E-3</v>
      </c>
      <c r="AF1201" s="44">
        <f>ROUND(((Z1201+AA1201+AB1201)),4)</f>
        <v>1.17E-2</v>
      </c>
      <c r="AG1201" s="88"/>
      <c r="AH1201" s="88"/>
    </row>
    <row r="1202" spans="1:34" ht="12.95" customHeight="1" x14ac:dyDescent="0.25">
      <c r="A1202" s="56"/>
      <c r="B1202" s="62"/>
      <c r="C1202" s="56"/>
      <c r="D1202" s="56"/>
      <c r="E1202" s="56"/>
      <c r="F1202" s="66"/>
      <c r="G1202" s="56"/>
      <c r="H1202" s="56"/>
      <c r="I1202" s="56"/>
      <c r="J1202" s="56"/>
      <c r="K1202" s="56"/>
      <c r="L1202" s="59">
        <v>0.77</v>
      </c>
      <c r="M1202" s="59">
        <v>0.94</v>
      </c>
      <c r="N1202" s="56"/>
      <c r="O1202" s="56"/>
      <c r="P1202" s="56"/>
      <c r="Q1202" s="56"/>
      <c r="R1202" s="56"/>
      <c r="S1202" s="61">
        <v>1.44</v>
      </c>
      <c r="T1202" s="48">
        <f>ROUND((L1202*I1197+1.3*L1202*K1197+S1202*H1197),4)</f>
        <v>345.69749999999999</v>
      </c>
      <c r="U1202" s="48">
        <f>ROUND((M1202*0.9*I1197+1.3*M1202*0.9*K1197+S1202*H1197),4)</f>
        <v>371.29050000000001</v>
      </c>
      <c r="V1202" s="48">
        <f>ROUND((M1202*I1197+1.3*M1202*K1197+S1202*H1197),4)</f>
        <v>402.94499999999999</v>
      </c>
      <c r="W1202" s="48">
        <f>ROUND((L1202*J1197+1.3*L1202*N1197+S1202*G1197),4)</f>
        <v>29.43</v>
      </c>
      <c r="X1202" s="48">
        <f>ROUND((M1202*0.9*J1197+1.3*M1202*0.9*N1197+S1202*G1197),4)</f>
        <v>31.481999999999999</v>
      </c>
      <c r="Y1202" s="48">
        <f>ROUND((M1202*J1197+1.3*M1202*N1197+S1202*G1197),4)</f>
        <v>34.020000000000003</v>
      </c>
      <c r="Z1202" s="49">
        <f>ROUND((P1197*T1202*F1197*O1197/1000000),4)</f>
        <v>1.04E-2</v>
      </c>
      <c r="AA1202" s="49">
        <f>ROUND((Q1197*U1202*F1197*O1197/1000000),4)</f>
        <v>2.23E-2</v>
      </c>
      <c r="AB1202" s="49">
        <f>ROUND((R1197*V1202*F1197*O1197/1000000),4)</f>
        <v>2.4199999999999999E-2</v>
      </c>
      <c r="AC1202" s="50" t="s">
        <v>170</v>
      </c>
      <c r="AD1202" s="51" t="s">
        <v>162</v>
      </c>
      <c r="AE1202" s="44">
        <f>ROUND((((X1202*E1197)/1800)),4)</f>
        <v>1.7500000000000002E-2</v>
      </c>
      <c r="AF1202" s="44">
        <f>ROUND(((Z1202+AA1202+AB1202)),4)</f>
        <v>5.6899999999999999E-2</v>
      </c>
      <c r="AG1202" s="87"/>
      <c r="AH1202" s="87"/>
    </row>
    <row r="1203" spans="1:34" s="285" customFormat="1" ht="12.95" customHeight="1" x14ac:dyDescent="0.2">
      <c r="A1203" s="1057" t="s">
        <v>553</v>
      </c>
      <c r="B1203" s="1058"/>
      <c r="C1203" s="1058"/>
      <c r="D1203" s="1058"/>
      <c r="E1203" s="1058"/>
      <c r="F1203" s="1058"/>
      <c r="G1203" s="1058"/>
      <c r="H1203" s="1058"/>
      <c r="I1203" s="1058"/>
      <c r="J1203" s="1058"/>
      <c r="K1203" s="1058"/>
      <c r="L1203" s="1058"/>
      <c r="M1203" s="1058"/>
      <c r="N1203" s="1058"/>
      <c r="O1203" s="1058"/>
      <c r="P1203" s="1058"/>
      <c r="Q1203" s="1058"/>
      <c r="R1203" s="1058"/>
      <c r="S1203" s="1059"/>
      <c r="T1203" s="280">
        <f>ROUND((L1203*I1203+1.3*L1203*K1203+S1203*H1203),4)</f>
        <v>0</v>
      </c>
      <c r="U1203" s="280">
        <f>ROUND((M1203*I1203+1.3*M1203*K1203+S1203*H1203),4)</f>
        <v>0</v>
      </c>
      <c r="V1203" s="280">
        <f>ROUND((M1203*I1203+1.3*M1203*K1203+S1203*H1203),4)</f>
        <v>0</v>
      </c>
      <c r="W1203" s="280">
        <f>ROUND((L1203*J1203+1.3*L1203*N1203+S1203*G1203),4)</f>
        <v>0</v>
      </c>
      <c r="X1203" s="280">
        <f>ROUND((M1203*J1203+1.3*M1203*N1203+S1203*G1203),4)</f>
        <v>0</v>
      </c>
      <c r="Y1203" s="280">
        <f>ROUND((M1203*J1203+1.3*M1203*N1203+S1203*G1203),4)</f>
        <v>0</v>
      </c>
      <c r="Z1203" s="281">
        <f>ROUND((P1203*T1203*F1203*O1203/1000000),4)</f>
        <v>0</v>
      </c>
      <c r="AA1203" s="281">
        <f>ROUND((Q1203*U1203*F1203*O1203/1000000),4)</f>
        <v>0</v>
      </c>
      <c r="AB1203" s="281">
        <f>ROUND((R1203*V1203*F1203*O1203/1000000),4)</f>
        <v>0</v>
      </c>
      <c r="AC1203" s="282" t="s">
        <v>200</v>
      </c>
      <c r="AD1203" s="283" t="s">
        <v>153</v>
      </c>
      <c r="AE1203" s="284">
        <f>MAX(AE1149,AE1155,AE1161,AE1167,AE1173,AE1179,AE1185,AE1191,AE1197)</f>
        <v>0.12720000000000001</v>
      </c>
      <c r="AF1203" s="284">
        <f>AF1149+AF1155+AF1161+AF1167+AF1173+AF1179+AF1185+AF1191+AF1197</f>
        <v>2.4943</v>
      </c>
    </row>
    <row r="1204" spans="1:34" s="285" customFormat="1" ht="12.95" customHeight="1" x14ac:dyDescent="0.2">
      <c r="A1204" s="1057"/>
      <c r="B1204" s="1060"/>
      <c r="C1204" s="1060"/>
      <c r="D1204" s="1060"/>
      <c r="E1204" s="1060"/>
      <c r="F1204" s="1060"/>
      <c r="G1204" s="1060"/>
      <c r="H1204" s="1060"/>
      <c r="I1204" s="1060"/>
      <c r="J1204" s="1060"/>
      <c r="K1204" s="1060"/>
      <c r="L1204" s="1060"/>
      <c r="M1204" s="1060"/>
      <c r="N1204" s="1060"/>
      <c r="O1204" s="1060"/>
      <c r="P1204" s="1060"/>
      <c r="Q1204" s="1060"/>
      <c r="R1204" s="1060"/>
      <c r="S1204" s="1061"/>
      <c r="T1204" s="286"/>
      <c r="U1204" s="286"/>
      <c r="V1204" s="286"/>
      <c r="W1204" s="286"/>
      <c r="X1204" s="286"/>
      <c r="Y1204" s="286"/>
      <c r="Z1204" s="286"/>
      <c r="AA1204" s="286"/>
      <c r="AB1204" s="286"/>
      <c r="AC1204" s="282" t="s">
        <v>201</v>
      </c>
      <c r="AD1204" s="283" t="s">
        <v>202</v>
      </c>
      <c r="AE1204" s="284">
        <f t="shared" ref="AE1204:AE1208" si="26">MAX(AE1150,AE1156,AE1162,AE1168,AE1174,AE1180,AE1186,AE1192,AE1198)</f>
        <v>2.07E-2</v>
      </c>
      <c r="AF1204" s="284">
        <f t="shared" ref="AF1204:AF1208" si="27">AF1150+AF1156+AF1162+AF1168+AF1174+AF1180+AF1186+AF1192+AF1198</f>
        <v>0.40529999999999999</v>
      </c>
    </row>
    <row r="1205" spans="1:34" s="285" customFormat="1" ht="12.95" customHeight="1" x14ac:dyDescent="0.2">
      <c r="A1205" s="1057"/>
      <c r="B1205" s="1060"/>
      <c r="C1205" s="1060"/>
      <c r="D1205" s="1060"/>
      <c r="E1205" s="1060"/>
      <c r="F1205" s="1060"/>
      <c r="G1205" s="1060"/>
      <c r="H1205" s="1060"/>
      <c r="I1205" s="1060"/>
      <c r="J1205" s="1060"/>
      <c r="K1205" s="1060"/>
      <c r="L1205" s="1060"/>
      <c r="M1205" s="1060"/>
      <c r="N1205" s="1060"/>
      <c r="O1205" s="1060"/>
      <c r="P1205" s="1060"/>
      <c r="Q1205" s="1060"/>
      <c r="R1205" s="1060"/>
      <c r="S1205" s="1061"/>
      <c r="T1205" s="280">
        <f>ROUND((L1205*I1203+1.3*L1205*K1203+S1205*H1203),4)</f>
        <v>0</v>
      </c>
      <c r="U1205" s="280">
        <f>ROUND((M1205*0.9*I1203+1.3*M1205*0.9*K1203+S1205*H1203),4)</f>
        <v>0</v>
      </c>
      <c r="V1205" s="280">
        <f>ROUND((M1205*I1203+1.3*M1205*K1203+S1205*H1203),4)</f>
        <v>0</v>
      </c>
      <c r="W1205" s="280">
        <f>ROUND((L1205*J1203+1.3*L1205*N1203+S1205*G1203),4)</f>
        <v>0</v>
      </c>
      <c r="X1205" s="280">
        <f>ROUND((M1205*0.9*J1203+1.3*M1205*0.9*N1203+S1205*G1203),4)</f>
        <v>0</v>
      </c>
      <c r="Y1205" s="280">
        <f>ROUND((M1205*J1203+1.3*M1205*N1203+S1205*G1203),4)</f>
        <v>0</v>
      </c>
      <c r="Z1205" s="281">
        <f>ROUND((P1203*T1205*F1203*O1203/1000000),4)</f>
        <v>0</v>
      </c>
      <c r="AA1205" s="281">
        <f>ROUND((Q1203*U1205*F1203*O1203/1000000),4)</f>
        <v>0</v>
      </c>
      <c r="AB1205" s="281">
        <f>ROUND((R1203*V1205*F1203*O1203/1000000),4)</f>
        <v>0</v>
      </c>
      <c r="AC1205" s="282" t="s">
        <v>203</v>
      </c>
      <c r="AD1205" s="283" t="s">
        <v>204</v>
      </c>
      <c r="AE1205" s="284">
        <f t="shared" si="26"/>
        <v>1.4500000000000001E-2</v>
      </c>
      <c r="AF1205" s="284">
        <f t="shared" si="27"/>
        <v>0.30570000000000003</v>
      </c>
    </row>
    <row r="1206" spans="1:34" s="285" customFormat="1" ht="12.95" customHeight="1" x14ac:dyDescent="0.2">
      <c r="A1206" s="1057"/>
      <c r="B1206" s="1060"/>
      <c r="C1206" s="1060"/>
      <c r="D1206" s="1060"/>
      <c r="E1206" s="1060"/>
      <c r="F1206" s="1060"/>
      <c r="G1206" s="1060"/>
      <c r="H1206" s="1060"/>
      <c r="I1206" s="1060"/>
      <c r="J1206" s="1060"/>
      <c r="K1206" s="1060"/>
      <c r="L1206" s="1060"/>
      <c r="M1206" s="1060"/>
      <c r="N1206" s="1060"/>
      <c r="O1206" s="1060"/>
      <c r="P1206" s="1060"/>
      <c r="Q1206" s="1060"/>
      <c r="R1206" s="1060"/>
      <c r="S1206" s="1061"/>
      <c r="T1206" s="280">
        <f>ROUND((L1206*I1203+1.3*L1206*K1203+S1206*H1203),4)</f>
        <v>0</v>
      </c>
      <c r="U1206" s="280">
        <f>ROUND((M1206*0.9*I1203+1.3*M1206*0.9*K1203+S1206*H1203),4)</f>
        <v>0</v>
      </c>
      <c r="V1206" s="280">
        <f>ROUND((M1206*I1203+1.3*M1206*K1203+S1206*H1203),4)</f>
        <v>0</v>
      </c>
      <c r="W1206" s="280">
        <f>ROUND((L1206*J1203+1.3*L1206*N1203+S1206*G1203),4)</f>
        <v>0</v>
      </c>
      <c r="X1206" s="280">
        <f>ROUND((M1206*0.9*J1203+1.3*M1206*0.9*N1203+S1206*G1203),4)</f>
        <v>0</v>
      </c>
      <c r="Y1206" s="280">
        <f>ROUND((M1206*J1203+1.3*N1203+S1206*G1203),4)</f>
        <v>0</v>
      </c>
      <c r="Z1206" s="281">
        <f>ROUND((P1203*T1206*F1203*O1203/1000000),4)</f>
        <v>0</v>
      </c>
      <c r="AA1206" s="281">
        <f>ROUND((Q1203*U1206*F1203*O1203/1000000),4)</f>
        <v>0</v>
      </c>
      <c r="AB1206" s="281">
        <f>ROUND((R1203*V1206*F1203*O1203/1000000),4)</f>
        <v>0</v>
      </c>
      <c r="AC1206" s="282" t="s">
        <v>205</v>
      </c>
      <c r="AD1206" s="283" t="s">
        <v>206</v>
      </c>
      <c r="AE1206" s="284">
        <f t="shared" si="26"/>
        <v>3.32E-2</v>
      </c>
      <c r="AF1206" s="284">
        <f t="shared" si="27"/>
        <v>0.63240000000000007</v>
      </c>
    </row>
    <row r="1207" spans="1:34" s="285" customFormat="1" ht="12.95" customHeight="1" x14ac:dyDescent="0.2">
      <c r="A1207" s="1057"/>
      <c r="B1207" s="1060"/>
      <c r="C1207" s="1060"/>
      <c r="D1207" s="1060"/>
      <c r="E1207" s="1060"/>
      <c r="F1207" s="1060"/>
      <c r="G1207" s="1060"/>
      <c r="H1207" s="1060"/>
      <c r="I1207" s="1060"/>
      <c r="J1207" s="1060"/>
      <c r="K1207" s="1060"/>
      <c r="L1207" s="1060"/>
      <c r="M1207" s="1060"/>
      <c r="N1207" s="1060"/>
      <c r="O1207" s="1060"/>
      <c r="P1207" s="1060"/>
      <c r="Q1207" s="1060"/>
      <c r="R1207" s="1060"/>
      <c r="S1207" s="1061"/>
      <c r="T1207" s="280">
        <f>ROUND((L1207*I1203+1.3*L1207*K1203+S1207*H1203),4)</f>
        <v>0</v>
      </c>
      <c r="U1207" s="280">
        <f>ROUND((M1207*0.9*I1203+1.3*M1207*0.9*K1203+S1207*H1203),4)</f>
        <v>0</v>
      </c>
      <c r="V1207" s="280">
        <f>ROUND((M1207*I1203+1.3*M1207*K1203+S1207*H1203),4)</f>
        <v>0</v>
      </c>
      <c r="W1207" s="280">
        <f>ROUND((L1207*J1203+1.3*L1207*N1203+S1207*G1203),4)</f>
        <v>0</v>
      </c>
      <c r="X1207" s="280">
        <f>ROUND((M1207*0.9*J1203+1.3*M1207*0.9*N1203+S1207*G1203),4)</f>
        <v>0</v>
      </c>
      <c r="Y1207" s="280">
        <f>ROUND((M1207*J1203+1.3*M1207*N1203+S1207*G1203),4)</f>
        <v>0</v>
      </c>
      <c r="Z1207" s="281">
        <f>ROUND((P1203*T1207*F1203*O1203/1000000),4)</f>
        <v>0</v>
      </c>
      <c r="AA1207" s="281">
        <f>ROUND((Q1203*U1207*F1203*O1203/1000000),4)</f>
        <v>0</v>
      </c>
      <c r="AB1207" s="281">
        <f>ROUND((R1203*V1207*F1203*O1203/1000000),4)</f>
        <v>0</v>
      </c>
      <c r="AC1207" s="282" t="s">
        <v>250</v>
      </c>
      <c r="AD1207" s="283" t="s">
        <v>208</v>
      </c>
      <c r="AE1207" s="284">
        <f t="shared" si="26"/>
        <v>2.3800000000000002E-2</v>
      </c>
      <c r="AF1207" s="284">
        <f t="shared" si="27"/>
        <v>0.45200000000000001</v>
      </c>
    </row>
    <row r="1208" spans="1:34" s="285" customFormat="1" ht="12.95" customHeight="1" x14ac:dyDescent="0.2">
      <c r="A1208" s="1062"/>
      <c r="B1208" s="1063"/>
      <c r="C1208" s="1063"/>
      <c r="D1208" s="1063"/>
      <c r="E1208" s="1063"/>
      <c r="F1208" s="1063"/>
      <c r="G1208" s="1063"/>
      <c r="H1208" s="1063"/>
      <c r="I1208" s="1063"/>
      <c r="J1208" s="1063"/>
      <c r="K1208" s="1063"/>
      <c r="L1208" s="1063"/>
      <c r="M1208" s="1063"/>
      <c r="N1208" s="1063"/>
      <c r="O1208" s="1063"/>
      <c r="P1208" s="1063"/>
      <c r="Q1208" s="1063"/>
      <c r="R1208" s="1063"/>
      <c r="S1208" s="1064"/>
      <c r="T1208" s="280">
        <f>ROUND((L1208*I1203+1.3*L1208*K1203+S1208*H1203),4)</f>
        <v>0</v>
      </c>
      <c r="U1208" s="280">
        <f>ROUND((M1208*0.9*I1203+1.3*M1208*0.9*K1203+S1208*H1203),4)</f>
        <v>0</v>
      </c>
      <c r="V1208" s="280">
        <f>ROUND((M1208*I1203+1.3*M1208*K1203+S1208*H1203),4)</f>
        <v>0</v>
      </c>
      <c r="W1208" s="280">
        <f>ROUND((L1208*J1203+1.3*L1208*N1203+S1208*G1203),4)</f>
        <v>0</v>
      </c>
      <c r="X1208" s="280">
        <f>ROUND((M1208*0.9*J1203+1.3*M1208*0.9*N1203+S1208*G1203),4)</f>
        <v>0</v>
      </c>
      <c r="Y1208" s="280">
        <f>ROUND((M1208*J1203+1.3*M1208*N1203+S1208*G1203),4)</f>
        <v>0</v>
      </c>
      <c r="Z1208" s="281">
        <f>ROUND((P1203*T1208*F1203*O1203/1000000),4)</f>
        <v>0</v>
      </c>
      <c r="AA1208" s="281">
        <f>ROUND((Q1203*U1208*F1203*O1203/1000000),4)</f>
        <v>0</v>
      </c>
      <c r="AB1208" s="281">
        <f>ROUND((R1203*V1208*F1203*O1203/1000000),4)</f>
        <v>0</v>
      </c>
      <c r="AC1208" s="282" t="s">
        <v>170</v>
      </c>
      <c r="AD1208" s="283" t="s">
        <v>162</v>
      </c>
      <c r="AE1208" s="284">
        <f t="shared" si="26"/>
        <v>0.12039999999999999</v>
      </c>
      <c r="AF1208" s="284">
        <f t="shared" si="27"/>
        <v>2.1151000000000004</v>
      </c>
      <c r="AG1208" s="290">
        <f>SUM(AE1203:AE1208)</f>
        <v>0.33980000000000005</v>
      </c>
      <c r="AH1208" s="290">
        <f>SUM(AF1203:AF1208)</f>
        <v>6.4047999999999998</v>
      </c>
    </row>
  </sheetData>
  <mergeCells count="79">
    <mergeCell ref="A26:AE26"/>
    <mergeCell ref="A28:AE28"/>
    <mergeCell ref="A27:AE27"/>
    <mergeCell ref="A34:AF34"/>
    <mergeCell ref="A38:AE38"/>
    <mergeCell ref="A261:S266"/>
    <mergeCell ref="A364:S369"/>
    <mergeCell ref="A534:AF534"/>
    <mergeCell ref="A146:S151"/>
    <mergeCell ref="A152:AF152"/>
    <mergeCell ref="A267:AF267"/>
    <mergeCell ref="A370:AF370"/>
    <mergeCell ref="D44:D46"/>
    <mergeCell ref="E44:E46"/>
    <mergeCell ref="F44:F46"/>
    <mergeCell ref="Z44:AB45"/>
    <mergeCell ref="AC44:AC46"/>
    <mergeCell ref="T44:V45"/>
    <mergeCell ref="J44:J46"/>
    <mergeCell ref="K44:K46"/>
    <mergeCell ref="A49:AF49"/>
    <mergeCell ref="N44:N46"/>
    <mergeCell ref="A44:A46"/>
    <mergeCell ref="B44:B46"/>
    <mergeCell ref="C44:C46"/>
    <mergeCell ref="W44:Y45"/>
    <mergeCell ref="L44:M45"/>
    <mergeCell ref="AD44:AD46"/>
    <mergeCell ref="G44:G46"/>
    <mergeCell ref="H44:H46"/>
    <mergeCell ref="I44:I46"/>
    <mergeCell ref="O44:O46"/>
    <mergeCell ref="P44:R45"/>
    <mergeCell ref="S44:S46"/>
    <mergeCell ref="AE44:AE46"/>
    <mergeCell ref="AF44:AF46"/>
    <mergeCell ref="A1142:S1147"/>
    <mergeCell ref="A625:AF625"/>
    <mergeCell ref="A455:S460"/>
    <mergeCell ref="A528:S533"/>
    <mergeCell ref="A698:AF698"/>
    <mergeCell ref="A461:AF461"/>
    <mergeCell ref="A43:AF43"/>
    <mergeCell ref="A48:AF48"/>
    <mergeCell ref="A1203:S1208"/>
    <mergeCell ref="A619:S624"/>
    <mergeCell ref="A692:S697"/>
    <mergeCell ref="A783:S788"/>
    <mergeCell ref="A856:S861"/>
    <mergeCell ref="A917:S922"/>
    <mergeCell ref="A789:AF789"/>
    <mergeCell ref="A1087:AF1087"/>
    <mergeCell ref="A1148:AF1148"/>
    <mergeCell ref="A862:AF862"/>
    <mergeCell ref="A923:AF923"/>
    <mergeCell ref="A1014:AF1014"/>
    <mergeCell ref="A1008:S1013"/>
    <mergeCell ref="A1081:S1086"/>
    <mergeCell ref="A1:AE1"/>
    <mergeCell ref="A4:AE4"/>
    <mergeCell ref="A6:AE6"/>
    <mergeCell ref="A7:AE7"/>
    <mergeCell ref="A3:AE3"/>
    <mergeCell ref="A9:AE9"/>
    <mergeCell ref="A10:AE10"/>
    <mergeCell ref="A11:AE11"/>
    <mergeCell ref="A13:AE13"/>
    <mergeCell ref="A12:AE12"/>
    <mergeCell ref="A41:AF41"/>
    <mergeCell ref="A39:AE39"/>
    <mergeCell ref="A30:AE30"/>
    <mergeCell ref="A32:AE32"/>
    <mergeCell ref="A35:AE35"/>
    <mergeCell ref="A15:AE15"/>
    <mergeCell ref="A17:AE17"/>
    <mergeCell ref="A22:AE22"/>
    <mergeCell ref="A24:AE24"/>
    <mergeCell ref="A19:AE19"/>
    <mergeCell ref="A20:AE20"/>
  </mergeCells>
  <pageMargins left="0.31496062992125984" right="0.31496062992125984" top="0.78740157480314965" bottom="0.39370078740157483" header="0.31496062992125984" footer="0.19685039370078741"/>
  <pageSetup paperSize="9" firstPageNumber="201" orientation="landscape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D6A9E-C889-466C-AFEA-9E6A3BA82838}">
  <dimension ref="A1:J14"/>
  <sheetViews>
    <sheetView view="pageBreakPreview" zoomScale="130" zoomScaleNormal="100" zoomScaleSheetLayoutView="130" workbookViewId="0">
      <selection activeCell="V10" sqref="V10"/>
    </sheetView>
  </sheetViews>
  <sheetFormatPr defaultRowHeight="15.75" x14ac:dyDescent="0.25"/>
  <cols>
    <col min="1" max="1" width="5.7109375" style="306" customWidth="1"/>
    <col min="2" max="8" width="9.140625" style="134"/>
    <col min="9" max="9" width="15.7109375" style="134" customWidth="1"/>
    <col min="10" max="10" width="5.140625" style="142" customWidth="1"/>
    <col min="11" max="16384" width="9.140625" style="134"/>
  </cols>
  <sheetData>
    <row r="1" spans="1:10" x14ac:dyDescent="0.25">
      <c r="A1" s="739" t="s">
        <v>498</v>
      </c>
      <c r="B1" s="739"/>
      <c r="C1" s="739"/>
      <c r="D1" s="739"/>
      <c r="E1" s="739"/>
      <c r="F1" s="739"/>
      <c r="G1" s="739"/>
      <c r="H1" s="739"/>
      <c r="I1" s="739"/>
    </row>
    <row r="2" spans="1:10" x14ac:dyDescent="0.25">
      <c r="J2" s="142" t="s">
        <v>499</v>
      </c>
    </row>
    <row r="3" spans="1:10" x14ac:dyDescent="0.25">
      <c r="A3" s="306" t="s">
        <v>504</v>
      </c>
      <c r="B3" s="740" t="s">
        <v>611</v>
      </c>
      <c r="C3" s="740"/>
      <c r="D3" s="740"/>
      <c r="E3" s="740"/>
      <c r="F3" s="740"/>
      <c r="G3" s="740"/>
      <c r="H3" s="740"/>
      <c r="I3" s="740"/>
      <c r="J3" s="142">
        <v>147</v>
      </c>
    </row>
    <row r="4" spans="1:10" ht="15" customHeight="1" x14ac:dyDescent="0.25">
      <c r="A4" s="306" t="s">
        <v>507</v>
      </c>
      <c r="B4" s="741" t="s">
        <v>610</v>
      </c>
      <c r="C4" s="741"/>
      <c r="D4" s="741"/>
      <c r="E4" s="741"/>
      <c r="F4" s="741"/>
      <c r="G4" s="741"/>
      <c r="H4" s="741"/>
      <c r="I4" s="741"/>
      <c r="J4" s="142">
        <v>150</v>
      </c>
    </row>
    <row r="5" spans="1:10" x14ac:dyDescent="0.25">
      <c r="A5" s="306" t="s">
        <v>508</v>
      </c>
      <c r="B5" s="738" t="s">
        <v>612</v>
      </c>
      <c r="C5" s="738"/>
      <c r="D5" s="738"/>
      <c r="E5" s="738"/>
      <c r="F5" s="738"/>
      <c r="G5" s="738"/>
      <c r="H5" s="738"/>
      <c r="I5" s="738"/>
      <c r="J5" s="142">
        <v>153</v>
      </c>
    </row>
    <row r="6" spans="1:10" x14ac:dyDescent="0.25">
      <c r="A6" s="306" t="s">
        <v>509</v>
      </c>
      <c r="B6" s="738" t="s">
        <v>500</v>
      </c>
      <c r="C6" s="738"/>
      <c r="D6" s="738"/>
      <c r="E6" s="738"/>
      <c r="F6" s="738"/>
      <c r="G6" s="738"/>
      <c r="H6" s="738"/>
      <c r="I6" s="738"/>
      <c r="J6" s="142">
        <v>165</v>
      </c>
    </row>
    <row r="7" spans="1:10" ht="31.5" customHeight="1" x14ac:dyDescent="0.25">
      <c r="A7" s="306" t="s">
        <v>510</v>
      </c>
      <c r="B7" s="741" t="s">
        <v>616</v>
      </c>
      <c r="C7" s="741"/>
      <c r="D7" s="741"/>
      <c r="E7" s="741"/>
      <c r="F7" s="741"/>
      <c r="G7" s="741"/>
      <c r="H7" s="741"/>
      <c r="I7" s="741"/>
      <c r="J7" s="142">
        <v>172</v>
      </c>
    </row>
    <row r="8" spans="1:10" ht="18" customHeight="1" x14ac:dyDescent="0.25">
      <c r="A8" s="306" t="s">
        <v>647</v>
      </c>
      <c r="B8" s="741" t="s">
        <v>648</v>
      </c>
      <c r="C8" s="741"/>
      <c r="D8" s="741"/>
      <c r="E8" s="741"/>
      <c r="F8" s="741"/>
      <c r="G8" s="741"/>
      <c r="H8" s="741"/>
      <c r="I8" s="741"/>
      <c r="J8" s="142">
        <v>172</v>
      </c>
    </row>
    <row r="9" spans="1:10" ht="18" customHeight="1" x14ac:dyDescent="0.25">
      <c r="A9" s="306" t="s">
        <v>649</v>
      </c>
      <c r="B9" s="741" t="s">
        <v>650</v>
      </c>
      <c r="C9" s="741"/>
      <c r="D9" s="741"/>
      <c r="E9" s="741"/>
      <c r="F9" s="741"/>
      <c r="G9" s="741"/>
      <c r="H9" s="741"/>
      <c r="I9" s="741"/>
      <c r="J9" s="142">
        <v>177</v>
      </c>
    </row>
    <row r="10" spans="1:10" x14ac:dyDescent="0.25">
      <c r="A10" s="306" t="s">
        <v>511</v>
      </c>
      <c r="B10" s="134" t="s">
        <v>501</v>
      </c>
      <c r="J10" s="142">
        <v>171</v>
      </c>
    </row>
    <row r="11" spans="1:10" x14ac:dyDescent="0.25">
      <c r="A11" s="306" t="s">
        <v>512</v>
      </c>
      <c r="B11" s="134" t="s">
        <v>617</v>
      </c>
      <c r="J11" s="142">
        <v>197</v>
      </c>
    </row>
    <row r="12" spans="1:10" x14ac:dyDescent="0.25">
      <c r="A12" s="306" t="s">
        <v>513</v>
      </c>
      <c r="B12" s="134" t="s">
        <v>502</v>
      </c>
      <c r="J12" s="142">
        <v>200</v>
      </c>
    </row>
    <row r="13" spans="1:10" x14ac:dyDescent="0.25">
      <c r="A13" s="306" t="s">
        <v>517</v>
      </c>
      <c r="B13" s="738" t="s">
        <v>618</v>
      </c>
      <c r="C13" s="738"/>
      <c r="D13" s="738"/>
      <c r="E13" s="738"/>
      <c r="F13" s="738"/>
      <c r="G13" s="738"/>
      <c r="H13" s="738"/>
      <c r="I13" s="738"/>
      <c r="J13" s="134">
        <v>207</v>
      </c>
    </row>
    <row r="14" spans="1:10" x14ac:dyDescent="0.25">
      <c r="A14" s="306" t="s">
        <v>514</v>
      </c>
      <c r="B14" s="738" t="s">
        <v>503</v>
      </c>
      <c r="C14" s="738"/>
      <c r="D14" s="738"/>
      <c r="E14" s="738"/>
      <c r="F14" s="738"/>
      <c r="G14" s="738"/>
      <c r="H14" s="738"/>
      <c r="I14" s="738"/>
      <c r="J14" s="142">
        <v>211</v>
      </c>
    </row>
  </sheetData>
  <mergeCells count="10">
    <mergeCell ref="B14:I14"/>
    <mergeCell ref="A1:I1"/>
    <mergeCell ref="B3:I3"/>
    <mergeCell ref="B4:I4"/>
    <mergeCell ref="B5:I5"/>
    <mergeCell ref="B6:I6"/>
    <mergeCell ref="B7:I7"/>
    <mergeCell ref="B13:I13"/>
    <mergeCell ref="B8:I8"/>
    <mergeCell ref="B9:I9"/>
  </mergeCells>
  <pageMargins left="0.70866141732283472" right="0.51181102362204722" top="0.74803149606299213" bottom="0.55118110236220474" header="0.31496062992125984" footer="0.31496062992125984"/>
  <pageSetup paperSize="9" scale="99" firstPageNumber="146" orientation="portrait" useFirstPageNumber="1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I170"/>
  <sheetViews>
    <sheetView view="pageBreakPreview" topLeftCell="L136" zoomScale="70" zoomScaleNormal="70" zoomScaleSheetLayoutView="70" workbookViewId="0">
      <selection activeCell="AD180" sqref="AD180"/>
    </sheetView>
  </sheetViews>
  <sheetFormatPr defaultRowHeight="15.75" x14ac:dyDescent="0.25"/>
  <cols>
    <col min="1" max="1" width="6.28515625" style="134" customWidth="1"/>
    <col min="2" max="2" width="18.140625" style="95" customWidth="1"/>
    <col min="3" max="3" width="7.28515625" style="134" customWidth="1"/>
    <col min="4" max="4" width="43.42578125" style="128" customWidth="1"/>
    <col min="5" max="5" width="9.140625" style="142" customWidth="1"/>
    <col min="6" max="6" width="16.42578125" style="142" customWidth="1"/>
    <col min="7" max="7" width="15.140625" style="142" customWidth="1"/>
    <col min="8" max="8" width="15.85546875" style="581" customWidth="1"/>
    <col min="9" max="9" width="14" style="581" customWidth="1"/>
    <col min="10" max="10" width="13" style="142" customWidth="1"/>
    <col min="11" max="11" width="17.5703125" style="142" customWidth="1"/>
    <col min="12" max="12" width="13" style="418" customWidth="1"/>
    <col min="13" max="13" width="13.140625" style="418" customWidth="1"/>
    <col min="14" max="14" width="13" style="134" customWidth="1"/>
    <col min="15" max="15" width="15" style="134" customWidth="1"/>
    <col min="16" max="16" width="13" style="134" customWidth="1"/>
    <col min="17" max="17" width="13.140625" style="134" customWidth="1"/>
    <col min="18" max="18" width="13" style="134" customWidth="1"/>
    <col min="19" max="19" width="13.140625" style="134" customWidth="1"/>
    <col min="20" max="20" width="13" style="134" customWidth="1"/>
    <col min="21" max="21" width="13.140625" style="134" customWidth="1"/>
    <col min="22" max="22" width="13" style="134" customWidth="1"/>
    <col min="23" max="23" width="13.140625" style="134" customWidth="1"/>
    <col min="24" max="24" width="13" style="134" customWidth="1"/>
    <col min="25" max="25" width="13.140625" style="134" customWidth="1"/>
    <col min="26" max="26" width="13" style="418" customWidth="1"/>
    <col min="27" max="27" width="13.140625" style="418" customWidth="1"/>
    <col min="28" max="28" width="13" style="418" customWidth="1"/>
    <col min="29" max="29" width="13.140625" style="418" customWidth="1"/>
    <col min="30" max="30" width="13" style="418" customWidth="1"/>
    <col min="31" max="31" width="13.140625" style="418" customWidth="1"/>
    <col min="32" max="32" width="13" style="418" customWidth="1"/>
    <col min="33" max="33" width="13.140625" style="418" customWidth="1"/>
    <col min="34" max="34" width="13" style="418" customWidth="1"/>
    <col min="35" max="35" width="13.140625" style="418" customWidth="1"/>
    <col min="36" max="16384" width="9.140625" style="134"/>
  </cols>
  <sheetData>
    <row r="1" spans="2:35" s="308" customFormat="1" ht="40.5" customHeight="1" x14ac:dyDescent="0.3">
      <c r="B1" s="309"/>
      <c r="C1" s="309"/>
      <c r="D1" s="765" t="s">
        <v>515</v>
      </c>
      <c r="E1" s="765"/>
      <c r="F1" s="765"/>
      <c r="G1" s="765"/>
      <c r="H1" s="765"/>
      <c r="I1" s="765"/>
      <c r="J1" s="765"/>
      <c r="K1" s="765"/>
      <c r="L1" s="765"/>
      <c r="M1" s="765"/>
      <c r="Z1" s="376"/>
      <c r="AA1" s="376"/>
      <c r="AB1" s="376"/>
      <c r="AC1" s="376"/>
      <c r="AD1" s="376"/>
      <c r="AE1" s="376"/>
      <c r="AF1" s="376"/>
      <c r="AG1" s="376"/>
      <c r="AH1" s="376"/>
      <c r="AI1" s="376"/>
    </row>
    <row r="2" spans="2:35" s="308" customFormat="1" ht="17.25" customHeight="1" x14ac:dyDescent="0.3">
      <c r="B2" s="298"/>
      <c r="C2" s="298"/>
      <c r="D2" s="298"/>
      <c r="E2" s="298"/>
      <c r="F2" s="298"/>
      <c r="G2" s="298"/>
      <c r="H2" s="298"/>
      <c r="I2" s="298"/>
      <c r="J2" s="309"/>
      <c r="K2" s="309"/>
      <c r="L2" s="377"/>
      <c r="M2" s="377"/>
      <c r="Z2" s="376"/>
      <c r="AA2" s="376"/>
      <c r="AB2" s="376"/>
      <c r="AC2" s="376"/>
      <c r="AF2" s="376"/>
      <c r="AG2" s="376"/>
      <c r="AH2" s="376"/>
      <c r="AI2" s="376"/>
    </row>
    <row r="3" spans="2:35" s="299" customFormat="1" ht="19.5" customHeight="1" thickBot="1" x14ac:dyDescent="0.3">
      <c r="B3" s="95"/>
      <c r="D3" s="300"/>
      <c r="E3" s="301"/>
      <c r="F3" s="752" t="s">
        <v>16</v>
      </c>
      <c r="G3" s="752"/>
      <c r="H3" s="766" t="s">
        <v>97</v>
      </c>
      <c r="I3" s="766"/>
      <c r="J3" s="752" t="s">
        <v>98</v>
      </c>
      <c r="K3" s="752"/>
      <c r="L3" s="752" t="s">
        <v>304</v>
      </c>
      <c r="M3" s="752"/>
      <c r="N3" s="752" t="s">
        <v>103</v>
      </c>
      <c r="O3" s="752"/>
      <c r="P3" s="752" t="s">
        <v>105</v>
      </c>
      <c r="Q3" s="752"/>
      <c r="R3" s="752" t="s">
        <v>109</v>
      </c>
      <c r="S3" s="752"/>
      <c r="T3" s="752" t="s">
        <v>111</v>
      </c>
      <c r="U3" s="752"/>
      <c r="V3" s="752" t="s">
        <v>112</v>
      </c>
      <c r="W3" s="752"/>
      <c r="X3" s="752" t="s">
        <v>114</v>
      </c>
      <c r="Y3" s="752"/>
      <c r="Z3" s="754" t="s">
        <v>115</v>
      </c>
      <c r="AA3" s="754"/>
      <c r="AB3" s="752" t="s">
        <v>119</v>
      </c>
      <c r="AC3" s="752"/>
      <c r="AD3" s="752" t="s">
        <v>121</v>
      </c>
      <c r="AE3" s="752"/>
      <c r="AF3" s="752" t="s">
        <v>122</v>
      </c>
      <c r="AG3" s="752"/>
      <c r="AH3" s="752" t="s">
        <v>123</v>
      </c>
      <c r="AI3" s="752"/>
    </row>
    <row r="4" spans="2:35" s="95" customFormat="1" ht="21" customHeight="1" x14ac:dyDescent="0.25">
      <c r="C4" s="302" t="s">
        <v>469</v>
      </c>
      <c r="D4" s="302" t="s">
        <v>470</v>
      </c>
      <c r="E4" s="303" t="s">
        <v>467</v>
      </c>
      <c r="F4" s="304" t="s">
        <v>54</v>
      </c>
      <c r="G4" s="305" t="s">
        <v>53</v>
      </c>
      <c r="H4" s="460" t="s">
        <v>54</v>
      </c>
      <c r="I4" s="461" t="s">
        <v>53</v>
      </c>
      <c r="J4" s="304" t="s">
        <v>54</v>
      </c>
      <c r="K4" s="305" t="s">
        <v>53</v>
      </c>
      <c r="L4" s="304" t="s">
        <v>54</v>
      </c>
      <c r="M4" s="305" t="s">
        <v>53</v>
      </c>
      <c r="N4" s="304" t="s">
        <v>54</v>
      </c>
      <c r="O4" s="445" t="s">
        <v>53</v>
      </c>
      <c r="P4" s="304" t="s">
        <v>54</v>
      </c>
      <c r="Q4" s="445" t="s">
        <v>53</v>
      </c>
      <c r="R4" s="304" t="s">
        <v>54</v>
      </c>
      <c r="S4" s="305" t="s">
        <v>53</v>
      </c>
      <c r="T4" s="304" t="s">
        <v>54</v>
      </c>
      <c r="U4" s="305" t="s">
        <v>53</v>
      </c>
      <c r="V4" s="304" t="s">
        <v>54</v>
      </c>
      <c r="W4" s="305" t="s">
        <v>53</v>
      </c>
      <c r="X4" s="454" t="s">
        <v>54</v>
      </c>
      <c r="Y4" s="445" t="s">
        <v>53</v>
      </c>
      <c r="Z4" s="604" t="s">
        <v>54</v>
      </c>
      <c r="AA4" s="608" t="s">
        <v>53</v>
      </c>
      <c r="AB4" s="454" t="s">
        <v>54</v>
      </c>
      <c r="AC4" s="445" t="s">
        <v>53</v>
      </c>
      <c r="AD4" s="304" t="s">
        <v>54</v>
      </c>
      <c r="AE4" s="305" t="s">
        <v>53</v>
      </c>
      <c r="AF4" s="454" t="s">
        <v>54</v>
      </c>
      <c r="AG4" s="445" t="s">
        <v>53</v>
      </c>
      <c r="AH4" s="304" t="s">
        <v>54</v>
      </c>
      <c r="AI4" s="305" t="s">
        <v>53</v>
      </c>
    </row>
    <row r="5" spans="2:35" ht="23.25" customHeight="1" x14ac:dyDescent="0.25">
      <c r="B5" s="756" t="s">
        <v>472</v>
      </c>
      <c r="C5" s="173">
        <v>8001</v>
      </c>
      <c r="D5" s="151" t="str">
        <f>'2.1 снятие ПРС бульдозер'!M31</f>
        <v>Пыль неорг.с сод-м SiO2 70-20%</v>
      </c>
      <c r="E5" s="157">
        <f>'2.1 снятие ПРС бульдозер'!N31</f>
        <v>2908</v>
      </c>
      <c r="F5" s="435">
        <f>'2.1 снятие ПРС бульдозер'!O31+'2.2 погрузка экскаватора'!O32+'2.3 земляные работы'!Q41</f>
        <v>1.1097999999999999</v>
      </c>
      <c r="G5" s="435">
        <f>'2.1 снятие ПРС бульдозер'!P31+'2.2 погрузка экскаватора'!P32+'2.3 земляные работы'!R41</f>
        <v>0.89539999999999997</v>
      </c>
      <c r="H5" s="176"/>
      <c r="I5" s="175"/>
      <c r="J5" s="158"/>
      <c r="K5" s="159"/>
      <c r="L5" s="158"/>
      <c r="M5" s="159"/>
      <c r="N5" s="158"/>
      <c r="O5" s="157"/>
      <c r="P5" s="158"/>
      <c r="Q5" s="157"/>
      <c r="R5" s="158"/>
      <c r="S5" s="159"/>
      <c r="T5" s="158"/>
      <c r="U5" s="159"/>
      <c r="V5" s="158"/>
      <c r="W5" s="159"/>
      <c r="X5" s="455"/>
      <c r="Y5" s="157"/>
      <c r="Z5" s="361"/>
      <c r="AA5" s="366"/>
      <c r="AB5" s="379"/>
      <c r="AC5" s="378"/>
      <c r="AD5" s="158"/>
      <c r="AE5" s="159"/>
      <c r="AF5" s="455"/>
      <c r="AG5" s="157"/>
      <c r="AH5" s="158"/>
      <c r="AI5" s="158"/>
    </row>
    <row r="6" spans="2:35" ht="23.25" customHeight="1" x14ac:dyDescent="0.25">
      <c r="B6" s="758"/>
      <c r="C6" s="173">
        <v>8002</v>
      </c>
      <c r="D6" s="151" t="str">
        <f>'2.4 транспортирование'!R42</f>
        <v>Пыль неорг. с сод-м SiO2 70-20%</v>
      </c>
      <c r="E6" s="157">
        <f>'2.4 транспортирование'!S42</f>
        <v>2908</v>
      </c>
      <c r="F6" s="435">
        <f>'2.4 транспортирование'!T42</f>
        <v>1.9900000000000001E-2</v>
      </c>
      <c r="G6" s="159">
        <f>'2.4 транспортирование'!U42</f>
        <v>1.14E-2</v>
      </c>
      <c r="H6" s="176"/>
      <c r="I6" s="175"/>
      <c r="J6" s="158"/>
      <c r="K6" s="159"/>
      <c r="L6" s="158"/>
      <c r="M6" s="159"/>
      <c r="N6" s="158"/>
      <c r="O6" s="157"/>
      <c r="P6" s="158"/>
      <c r="Q6" s="157"/>
      <c r="R6" s="158"/>
      <c r="S6" s="159"/>
      <c r="T6" s="158"/>
      <c r="U6" s="159"/>
      <c r="V6" s="158"/>
      <c r="W6" s="159"/>
      <c r="X6" s="455"/>
      <c r="Y6" s="157"/>
      <c r="Z6" s="361"/>
      <c r="AA6" s="366"/>
      <c r="AB6" s="379"/>
      <c r="AC6" s="378"/>
      <c r="AD6" s="361"/>
      <c r="AE6" s="366"/>
      <c r="AF6" s="455"/>
      <c r="AG6" s="157"/>
      <c r="AH6" s="158"/>
      <c r="AI6" s="158"/>
    </row>
    <row r="7" spans="2:35" ht="20.100000000000001" customHeight="1" x14ac:dyDescent="0.25">
      <c r="B7" s="758"/>
      <c r="C7" s="431">
        <v>8003</v>
      </c>
      <c r="D7" s="185" t="str">
        <f>'2.6 Сварка'!G34</f>
        <v>Фтористые газ.соед</v>
      </c>
      <c r="E7" s="186" t="str">
        <f>'2.6 Сварка'!H34</f>
        <v>0342</v>
      </c>
      <c r="F7" s="238">
        <f>'2.6 Сварка'!J34</f>
        <v>2.0000000000000001E-4</v>
      </c>
      <c r="G7" s="188">
        <f>'2.6 Сварка'!K34</f>
        <v>2.0000000000000001E-4</v>
      </c>
      <c r="H7" s="220"/>
      <c r="I7" s="219"/>
      <c r="J7" s="187"/>
      <c r="K7" s="188"/>
      <c r="L7" s="187"/>
      <c r="M7" s="188"/>
      <c r="N7" s="187"/>
      <c r="O7" s="186"/>
      <c r="P7" s="187"/>
      <c r="Q7" s="186"/>
      <c r="R7" s="187"/>
      <c r="S7" s="188"/>
      <c r="T7" s="187"/>
      <c r="U7" s="188"/>
      <c r="V7" s="187"/>
      <c r="W7" s="188"/>
      <c r="X7" s="456"/>
      <c r="Y7" s="186"/>
      <c r="Z7" s="359"/>
      <c r="AA7" s="364"/>
      <c r="AB7" s="381"/>
      <c r="AC7" s="380"/>
      <c r="AD7" s="359"/>
      <c r="AE7" s="364"/>
      <c r="AF7" s="456"/>
      <c r="AG7" s="186"/>
      <c r="AH7" s="187"/>
      <c r="AI7" s="187"/>
    </row>
    <row r="8" spans="2:35" ht="20.100000000000001" customHeight="1" x14ac:dyDescent="0.25">
      <c r="B8" s="758"/>
      <c r="C8" s="149"/>
      <c r="D8" s="189" t="str">
        <f>'2.6 Сварка'!G35</f>
        <v>Диоксид азота</v>
      </c>
      <c r="E8" s="190" t="str">
        <f>'2.6 Сварка'!H35</f>
        <v>0301</v>
      </c>
      <c r="F8" s="228">
        <f>'2.6 Сварка'!J35</f>
        <v>2.9999999999999997E-4</v>
      </c>
      <c r="G8" s="192">
        <f>'2.6 Сварка'!K35</f>
        <v>2.9999999999999997E-4</v>
      </c>
      <c r="H8" s="201"/>
      <c r="I8" s="200"/>
      <c r="J8" s="191"/>
      <c r="K8" s="192"/>
      <c r="L8" s="191"/>
      <c r="M8" s="192"/>
      <c r="N8" s="191"/>
      <c r="O8" s="190"/>
      <c r="P8" s="191"/>
      <c r="Q8" s="190"/>
      <c r="R8" s="191"/>
      <c r="S8" s="192"/>
      <c r="T8" s="191"/>
      <c r="U8" s="192"/>
      <c r="V8" s="191"/>
      <c r="W8" s="192"/>
      <c r="X8" s="457"/>
      <c r="Y8" s="190"/>
      <c r="Z8" s="360"/>
      <c r="AA8" s="365"/>
      <c r="AB8" s="383"/>
      <c r="AC8" s="382"/>
      <c r="AD8" s="360"/>
      <c r="AE8" s="365"/>
      <c r="AF8" s="457"/>
      <c r="AG8" s="190"/>
      <c r="AH8" s="191"/>
      <c r="AI8" s="191"/>
    </row>
    <row r="9" spans="2:35" ht="20.100000000000001" customHeight="1" x14ac:dyDescent="0.25">
      <c r="B9" s="758"/>
      <c r="C9" s="149"/>
      <c r="D9" s="189" t="str">
        <f>'2.6 Сварка'!G36</f>
        <v>Марганец и его соед.</v>
      </c>
      <c r="E9" s="190" t="str">
        <f>'2.6 Сварка'!H36</f>
        <v>0143</v>
      </c>
      <c r="F9" s="228">
        <f>'2.6 Сварка'!J36</f>
        <v>2.0000000000000001E-4</v>
      </c>
      <c r="G9" s="192">
        <f>'2.6 Сварка'!K36</f>
        <v>2.0000000000000001E-4</v>
      </c>
      <c r="H9" s="201"/>
      <c r="I9" s="200"/>
      <c r="J9" s="191"/>
      <c r="K9" s="192"/>
      <c r="L9" s="191"/>
      <c r="M9" s="192"/>
      <c r="N9" s="191"/>
      <c r="O9" s="190"/>
      <c r="P9" s="191"/>
      <c r="Q9" s="190"/>
      <c r="R9" s="191"/>
      <c r="S9" s="192"/>
      <c r="T9" s="191"/>
      <c r="U9" s="192"/>
      <c r="V9" s="191"/>
      <c r="W9" s="192"/>
      <c r="X9" s="457"/>
      <c r="Y9" s="190"/>
      <c r="Z9" s="360"/>
      <c r="AA9" s="365"/>
      <c r="AB9" s="383"/>
      <c r="AC9" s="382"/>
      <c r="AD9" s="360"/>
      <c r="AE9" s="365"/>
      <c r="AF9" s="457"/>
      <c r="AG9" s="190"/>
      <c r="AH9" s="191"/>
      <c r="AI9" s="191"/>
    </row>
    <row r="10" spans="2:35" ht="20.100000000000001" customHeight="1" x14ac:dyDescent="0.25">
      <c r="B10" s="758"/>
      <c r="C10" s="149"/>
      <c r="D10" s="189" t="str">
        <f>'2.6 Сварка'!G37</f>
        <v>Фториды</v>
      </c>
      <c r="E10" s="190" t="str">
        <f>'2.6 Сварка'!H37</f>
        <v>0344</v>
      </c>
      <c r="F10" s="228">
        <f>'2.6 Сварка'!J37</f>
        <v>6.9999999999999999E-4</v>
      </c>
      <c r="G10" s="192">
        <f>'2.6 Сварка'!K37</f>
        <v>6.9999999999999999E-4</v>
      </c>
      <c r="H10" s="201"/>
      <c r="I10" s="200"/>
      <c r="J10" s="191"/>
      <c r="K10" s="192"/>
      <c r="L10" s="191"/>
      <c r="M10" s="192"/>
      <c r="N10" s="191"/>
      <c r="O10" s="190"/>
      <c r="P10" s="191"/>
      <c r="Q10" s="190"/>
      <c r="R10" s="191"/>
      <c r="S10" s="192"/>
      <c r="T10" s="191"/>
      <c r="U10" s="192"/>
      <c r="V10" s="191"/>
      <c r="W10" s="192"/>
      <c r="X10" s="457"/>
      <c r="Y10" s="190"/>
      <c r="Z10" s="360"/>
      <c r="AA10" s="365"/>
      <c r="AB10" s="383"/>
      <c r="AC10" s="382"/>
      <c r="AD10" s="360"/>
      <c r="AE10" s="365"/>
      <c r="AF10" s="457"/>
      <c r="AG10" s="190"/>
      <c r="AH10" s="191"/>
      <c r="AI10" s="191"/>
    </row>
    <row r="11" spans="2:35" ht="20.100000000000001" customHeight="1" x14ac:dyDescent="0.25">
      <c r="B11" s="758"/>
      <c r="C11" s="149"/>
      <c r="D11" s="189" t="str">
        <f>'2.6 Сварка'!G38</f>
        <v>Железа оксид</v>
      </c>
      <c r="E11" s="190" t="str">
        <f>'2.6 Сварка'!H38</f>
        <v>0123</v>
      </c>
      <c r="F11" s="228">
        <f>'2.6 Сварка'!J38</f>
        <v>2.3999999999999998E-3</v>
      </c>
      <c r="G11" s="192">
        <f>'2.6 Сварка'!K38</f>
        <v>2.3999999999999998E-3</v>
      </c>
      <c r="H11" s="201"/>
      <c r="I11" s="200"/>
      <c r="J11" s="191"/>
      <c r="K11" s="192"/>
      <c r="L11" s="191"/>
      <c r="M11" s="192"/>
      <c r="N11" s="191"/>
      <c r="O11" s="190"/>
      <c r="P11" s="191"/>
      <c r="Q11" s="190"/>
      <c r="R11" s="191"/>
      <c r="S11" s="192"/>
      <c r="T11" s="191"/>
      <c r="U11" s="192"/>
      <c r="V11" s="191"/>
      <c r="W11" s="192"/>
      <c r="X11" s="457"/>
      <c r="Y11" s="190"/>
      <c r="Z11" s="360"/>
      <c r="AA11" s="365"/>
      <c r="AB11" s="383"/>
      <c r="AC11" s="382"/>
      <c r="AD11" s="360"/>
      <c r="AE11" s="365"/>
      <c r="AF11" s="457"/>
      <c r="AG11" s="190"/>
      <c r="AH11" s="191"/>
      <c r="AI11" s="191"/>
    </row>
    <row r="12" spans="2:35" ht="20.100000000000001" customHeight="1" x14ac:dyDescent="0.25">
      <c r="B12" s="758"/>
      <c r="C12" s="149"/>
      <c r="D12" s="189" t="str">
        <f>'2.6 Сварка'!G39</f>
        <v>Пыль неорг.с сод-м SiO2 70-20 %</v>
      </c>
      <c r="E12" s="190">
        <f>'2.6 Сварка'!H39</f>
        <v>2908</v>
      </c>
      <c r="F12" s="228">
        <f>'2.6 Сварка'!J39</f>
        <v>2.9999999999999997E-4</v>
      </c>
      <c r="G12" s="192">
        <f>'2.6 Сварка'!K39</f>
        <v>2.9999999999999997E-4</v>
      </c>
      <c r="H12" s="201"/>
      <c r="I12" s="200"/>
      <c r="J12" s="191"/>
      <c r="K12" s="192"/>
      <c r="L12" s="191"/>
      <c r="M12" s="192"/>
      <c r="N12" s="191"/>
      <c r="O12" s="190"/>
      <c r="P12" s="191"/>
      <c r="Q12" s="190"/>
      <c r="R12" s="191"/>
      <c r="S12" s="192"/>
      <c r="T12" s="191"/>
      <c r="U12" s="192"/>
      <c r="V12" s="191"/>
      <c r="W12" s="192"/>
      <c r="X12" s="457"/>
      <c r="Y12" s="190"/>
      <c r="Z12" s="360"/>
      <c r="AA12" s="365"/>
      <c r="AB12" s="383"/>
      <c r="AC12" s="382"/>
      <c r="AD12" s="360"/>
      <c r="AE12" s="365"/>
      <c r="AF12" s="457"/>
      <c r="AG12" s="190"/>
      <c r="AH12" s="191"/>
      <c r="AI12" s="191"/>
    </row>
    <row r="13" spans="2:35" ht="20.100000000000001" customHeight="1" x14ac:dyDescent="0.25">
      <c r="B13" s="758"/>
      <c r="C13" s="149"/>
      <c r="D13" s="189" t="str">
        <f>'2.6 Сварка'!G40</f>
        <v>Оксид углерода</v>
      </c>
      <c r="E13" s="190" t="str">
        <f>'2.6 Сварка'!H40</f>
        <v>0337</v>
      </c>
      <c r="F13" s="228">
        <f>'2.6 Сварка'!J40+'2.7сварка полиэтилена'!H28</f>
        <v>3.0170000000000002E-3</v>
      </c>
      <c r="G13" s="192">
        <f>'2.6 Сварка'!K40+'2.7сварка полиэтилена'!I28</f>
        <v>3.081E-3</v>
      </c>
      <c r="H13" s="201"/>
      <c r="I13" s="200"/>
      <c r="J13" s="191"/>
      <c r="K13" s="192"/>
      <c r="L13" s="191"/>
      <c r="M13" s="192"/>
      <c r="N13" s="191"/>
      <c r="O13" s="190"/>
      <c r="P13" s="191"/>
      <c r="Q13" s="190"/>
      <c r="R13" s="191"/>
      <c r="S13" s="192"/>
      <c r="T13" s="191"/>
      <c r="U13" s="192"/>
      <c r="V13" s="191"/>
      <c r="W13" s="192"/>
      <c r="X13" s="457"/>
      <c r="Y13" s="190"/>
      <c r="Z13" s="360"/>
      <c r="AA13" s="365"/>
      <c r="AB13" s="383"/>
      <c r="AC13" s="382"/>
      <c r="AD13" s="360"/>
      <c r="AE13" s="365"/>
      <c r="AF13" s="457"/>
      <c r="AG13" s="190"/>
      <c r="AH13" s="191"/>
      <c r="AI13" s="191"/>
    </row>
    <row r="14" spans="2:35" ht="20.100000000000001" customHeight="1" x14ac:dyDescent="0.25">
      <c r="B14" s="355"/>
      <c r="C14" s="149"/>
      <c r="D14" s="189" t="str">
        <f>'2.7сварка полиэтилена'!F29</f>
        <v>Хлорэтилен /Винилхлорид/</v>
      </c>
      <c r="E14" s="190" t="str">
        <f>'2.7сварка полиэтилена'!G29</f>
        <v>0827</v>
      </c>
      <c r="F14" s="240">
        <f>'2.7сварка полиэтилена'!H29</f>
        <v>6.9999999999999999E-6</v>
      </c>
      <c r="G14" s="192">
        <f>'2.7сварка полиэтилена'!I29</f>
        <v>3.4999999999999997E-5</v>
      </c>
      <c r="H14" s="201"/>
      <c r="I14" s="200"/>
      <c r="J14" s="191"/>
      <c r="K14" s="192"/>
      <c r="L14" s="191"/>
      <c r="M14" s="192"/>
      <c r="N14" s="191"/>
      <c r="O14" s="190"/>
      <c r="P14" s="191"/>
      <c r="Q14" s="190"/>
      <c r="R14" s="191"/>
      <c r="S14" s="192"/>
      <c r="T14" s="191"/>
      <c r="U14" s="192"/>
      <c r="V14" s="191"/>
      <c r="W14" s="192"/>
      <c r="X14" s="457"/>
      <c r="Y14" s="190"/>
      <c r="Z14" s="360"/>
      <c r="AA14" s="365"/>
      <c r="AB14" s="383"/>
      <c r="AC14" s="382"/>
      <c r="AD14" s="360"/>
      <c r="AE14" s="365"/>
      <c r="AF14" s="457"/>
      <c r="AG14" s="190"/>
      <c r="AH14" s="191"/>
      <c r="AI14" s="191"/>
    </row>
    <row r="15" spans="2:35" s="179" customFormat="1" ht="20.100000000000001" customHeight="1" x14ac:dyDescent="0.25">
      <c r="B15" s="760" t="s">
        <v>473</v>
      </c>
      <c r="C15" s="173">
        <v>8004</v>
      </c>
      <c r="D15" s="174" t="str">
        <f>'2.1 снятие ПРС бульдозер'!M35</f>
        <v>Пыль неорг.с сод-м SiO2 70-20%</v>
      </c>
      <c r="E15" s="175">
        <f>'2.1 снятие ПРС бульдозер'!N35</f>
        <v>2908</v>
      </c>
      <c r="F15" s="434">
        <f>'2.1 снятие ПРС бульдозер'!O35+'2.2 погрузка экскаватора'!O38+'2.3 земляные работы'!Q49</f>
        <v>0.72089999999999987</v>
      </c>
      <c r="G15" s="175">
        <f>'2.1 снятие ПРС бульдозер'!P35+'2.2 погрузка экскаватора'!P38+'2.3 земляные работы'!R49</f>
        <v>2.7568999999999999</v>
      </c>
      <c r="H15" s="176">
        <f>'2.3 земляные работы'!Q68</f>
        <v>0.20419999999999999</v>
      </c>
      <c r="I15" s="708">
        <f>'2.3 земляные работы'!R68</f>
        <v>1.4298</v>
      </c>
      <c r="J15" s="176">
        <f>'2.3 земляные работы'!Q94</f>
        <v>2.92E-2</v>
      </c>
      <c r="K15" s="178">
        <f>'2.3 земляные работы'!R94</f>
        <v>0.17380000000000001</v>
      </c>
      <c r="L15" s="176"/>
      <c r="M15" s="177"/>
      <c r="N15" s="434">
        <f>'2.1 снятие ПРС бульдозер'!O44+'2.2 погрузка экскаватора'!O49+'2.3 земляные работы'!Q120</f>
        <v>0.56049999999999989</v>
      </c>
      <c r="O15" s="175">
        <f>'2.1 снятие ПРС бульдозер'!P44+'2.2 погрузка экскаватора'!P49+'2.3 земляные работы'!R120</f>
        <v>1.1674</v>
      </c>
      <c r="P15" s="176">
        <f>'2.3 земляные работы'!Q133</f>
        <v>4.3799999999999999E-2</v>
      </c>
      <c r="Q15" s="178">
        <f>'2.3 земляные работы'!R133</f>
        <v>0.4098</v>
      </c>
      <c r="R15" s="434">
        <f>'2.1 снятие ПРС бульдозер'!Q49+'2.2 погрузка экскаватора'!Q56+'2.3 земляные работы'!Q140</f>
        <v>0.54779999999999995</v>
      </c>
      <c r="S15" s="175">
        <f>'2.1 снятие ПРС бульдозер'!R49+'2.2 погрузка экскаватора'!R56+'2.3 земляные работы'!R140</f>
        <v>0.99150000000000005</v>
      </c>
      <c r="T15" s="176">
        <f>'2.3 земляные работы'!Q153</f>
        <v>3.1099999999999999E-2</v>
      </c>
      <c r="U15" s="177">
        <f>'2.3 земляные работы'!R153</f>
        <v>0.60809999999999997</v>
      </c>
      <c r="V15" s="176">
        <f>'2.1 снятие ПРС бульдозер'!O54+'2.2 погрузка экскаватора'!O63+'2.3 земляные работы'!Q159</f>
        <v>0.55169999999999997</v>
      </c>
      <c r="W15" s="178">
        <f>'2.1 снятие ПРС бульдозер'!P54+'2.2 погрузка экскаватора'!P63+'2.3 земляные работы'!R159</f>
        <v>1.0236000000000001</v>
      </c>
      <c r="X15" s="178">
        <f>'2.3 земляные работы'!Q165</f>
        <v>4.3799999999999999E-2</v>
      </c>
      <c r="Y15" s="178">
        <f>'2.3 земляные работы'!R165</f>
        <v>0.66500000000000004</v>
      </c>
      <c r="Z15" s="362">
        <f>'2.3 земляные работы'!Q177</f>
        <v>4.3799999999999999E-2</v>
      </c>
      <c r="AA15" s="363">
        <f>'2.3 земляные работы'!R177</f>
        <v>0.40669999999999995</v>
      </c>
      <c r="AB15" s="178">
        <f>'2.1 снятие ПРС бульдозер'!O59+'2.2 погрузка экскаватора'!O70+'2.3 земляные работы'!Q183</f>
        <v>0.57889999999999997</v>
      </c>
      <c r="AC15" s="178">
        <f>'2.1 снятие ПРС бульдозер'!P59+'2.2 погрузка экскаватора'!P70+'2.3 земляные работы'!R183</f>
        <v>1.2336</v>
      </c>
      <c r="AD15" s="362">
        <f>'2.3 земляные работы'!Q189</f>
        <v>4.3799999999999999E-2</v>
      </c>
      <c r="AE15" s="362">
        <f>'2.3 земляные работы'!R189</f>
        <v>0.83709999999999996</v>
      </c>
      <c r="AF15" s="178">
        <f>'2.3 земляные работы'!Q199</f>
        <v>4.3799999999999999E-2</v>
      </c>
      <c r="AG15" s="177">
        <f>'2.3 земляные работы'!R199</f>
        <v>0.54910000000000003</v>
      </c>
      <c r="AH15" s="434">
        <f>'2.3 земляные работы'!Q207</f>
        <v>7.7999999999999996E-3</v>
      </c>
      <c r="AI15" s="434">
        <f>'2.3 земляные работы'!R207</f>
        <v>2.07E-2</v>
      </c>
    </row>
    <row r="16" spans="2:35" s="179" customFormat="1" ht="20.100000000000001" customHeight="1" x14ac:dyDescent="0.25">
      <c r="B16" s="762"/>
      <c r="C16" s="173">
        <v>8005</v>
      </c>
      <c r="D16" s="174" t="str">
        <f>'2.4 транспортирование'!R52</f>
        <v>Пыль неорг. с сод-м SiO2 70-20%</v>
      </c>
      <c r="E16" s="175">
        <f>'2.4 транспортирование'!S52</f>
        <v>2908</v>
      </c>
      <c r="F16" s="176">
        <f>'2.4 транспортирование'!T52</f>
        <v>4.8799999999999996E-2</v>
      </c>
      <c r="G16" s="211">
        <f>'2.4 транспортирование'!U52</f>
        <v>7.3400000000000007E-2</v>
      </c>
      <c r="H16" s="210">
        <f>'2.4 транспортирование'!T67</f>
        <v>3.4799999999999998E-2</v>
      </c>
      <c r="I16" s="175">
        <f>'2.4 транспортирование'!U67</f>
        <v>9.7300000000000011E-2</v>
      </c>
      <c r="J16" s="176">
        <f>'2.4 транспортирование'!T74</f>
        <v>1.9300000000000001E-2</v>
      </c>
      <c r="K16" s="182">
        <f>'2.4 транспортирование'!U74</f>
        <v>3.8400000000000004E-2</v>
      </c>
      <c r="L16" s="176"/>
      <c r="M16" s="177"/>
      <c r="N16" s="176">
        <f>'2.4 транспортирование'!T89</f>
        <v>2.3899999999999998E-2</v>
      </c>
      <c r="O16" s="175">
        <f>'2.4 транспортирование'!U89</f>
        <v>9.3799999999999994E-2</v>
      </c>
      <c r="P16" s="176">
        <f>'2.4 транспортирование'!T96</f>
        <v>2.3399999999999997E-2</v>
      </c>
      <c r="Q16" s="175">
        <f>'2.4 транспортирование'!U96</f>
        <v>7.8700000000000006E-2</v>
      </c>
      <c r="R16" s="176">
        <f>'2.4 транспортирование'!T103</f>
        <v>2.9400000000000003E-2</v>
      </c>
      <c r="S16" s="177">
        <f>'2.4 транспортирование'!U103</f>
        <v>8.9300000000000004E-2</v>
      </c>
      <c r="T16" s="176">
        <f>'2.4 транспортирование'!T110</f>
        <v>3.44E-2</v>
      </c>
      <c r="U16" s="177">
        <f>'2.4 транспортирование'!U110</f>
        <v>0.1101</v>
      </c>
      <c r="V16" s="434">
        <f>'2.4 транспортирование'!T117</f>
        <v>2.69E-2</v>
      </c>
      <c r="W16" s="173">
        <f>'2.4 транспортирование'!U117</f>
        <v>0.10070000000000001</v>
      </c>
      <c r="X16" s="178">
        <f>'2.4 транспортирование'!T122</f>
        <v>2.6200000000000001E-2</v>
      </c>
      <c r="Y16" s="178">
        <f>'2.4 транспортирование'!U122</f>
        <v>0.12859999999999999</v>
      </c>
      <c r="Z16" s="362">
        <f>'2.4 транспортирование'!T129</f>
        <v>1.8700000000000001E-2</v>
      </c>
      <c r="AA16" s="363">
        <f>'2.4 транспортирование'!U129</f>
        <v>5.3199999999999997E-2</v>
      </c>
      <c r="AB16" s="178">
        <f>'2.4 транспортирование'!T136</f>
        <v>3.5999999999999997E-2</v>
      </c>
      <c r="AC16" s="178">
        <f>'2.4 транспортирование'!U136</f>
        <v>0.11890000000000001</v>
      </c>
      <c r="AD16" s="362">
        <f>'2.4 транспортирование'!T141</f>
        <v>2.8000000000000001E-2</v>
      </c>
      <c r="AE16" s="362">
        <f>'2.4 транспортирование'!U141</f>
        <v>0.1351</v>
      </c>
      <c r="AF16" s="178">
        <f>'2.4 транспортирование'!T148</f>
        <v>2.6700000000000002E-2</v>
      </c>
      <c r="AG16" s="175">
        <f>'2.4 транспортирование'!U148</f>
        <v>9.0500000000000011E-2</v>
      </c>
      <c r="AH16" s="176">
        <f>'2.4 транспортирование'!T155</f>
        <v>5.5999999999999999E-3</v>
      </c>
      <c r="AI16" s="176">
        <f>'2.4 транспортирование'!U155</f>
        <v>6.3999999999999994E-3</v>
      </c>
    </row>
    <row r="17" spans="2:35" ht="20.100000000000001" customHeight="1" x14ac:dyDescent="0.25">
      <c r="B17" s="762"/>
      <c r="C17" s="431">
        <v>8006</v>
      </c>
      <c r="D17" s="185" t="str">
        <f>'2.6 Сварка'!G68</f>
        <v>Фтористые газ.соед</v>
      </c>
      <c r="E17" s="186" t="str">
        <f>'2.6 Сварка'!H68</f>
        <v>0342</v>
      </c>
      <c r="F17" s="187"/>
      <c r="G17" s="188"/>
      <c r="H17" s="220"/>
      <c r="I17" s="219"/>
      <c r="J17" s="238">
        <f>'2.6 Сварка'!J68</f>
        <v>4.1999999999999997E-3</v>
      </c>
      <c r="K17" s="188">
        <f>'2.6 Сварка'!K68</f>
        <v>4.3E-3</v>
      </c>
      <c r="L17" s="440"/>
      <c r="M17" s="441"/>
      <c r="N17" s="440"/>
      <c r="O17" s="163"/>
      <c r="P17" s="440"/>
      <c r="Q17" s="163"/>
      <c r="R17" s="440"/>
      <c r="S17" s="441"/>
      <c r="T17" s="440"/>
      <c r="U17" s="441"/>
      <c r="V17" s="440"/>
      <c r="W17" s="441"/>
      <c r="X17" s="164"/>
      <c r="Y17" s="163"/>
      <c r="Z17" s="384"/>
      <c r="AA17" s="385"/>
      <c r="AB17" s="387"/>
      <c r="AC17" s="386"/>
      <c r="AD17" s="384"/>
      <c r="AE17" s="385"/>
      <c r="AF17" s="387"/>
      <c r="AG17" s="386"/>
      <c r="AH17" s="384"/>
      <c r="AI17" s="384"/>
    </row>
    <row r="18" spans="2:35" ht="20.100000000000001" customHeight="1" x14ac:dyDescent="0.25">
      <c r="B18" s="762"/>
      <c r="C18" s="154"/>
      <c r="D18" s="189" t="str">
        <f>'2.6 Сварка'!G69</f>
        <v>Диоксид азота</v>
      </c>
      <c r="E18" s="190" t="str">
        <f>'2.6 Сварка'!H69</f>
        <v>0301</v>
      </c>
      <c r="F18" s="191"/>
      <c r="G18" s="192"/>
      <c r="H18" s="201"/>
      <c r="I18" s="200"/>
      <c r="J18" s="228">
        <f>'2.6 Сварка'!J69</f>
        <v>8.3999999999999995E-3</v>
      </c>
      <c r="K18" s="192">
        <f>'2.6 Сварка'!K69</f>
        <v>8.6999999999999994E-3</v>
      </c>
      <c r="L18" s="197"/>
      <c r="M18" s="198"/>
      <c r="N18" s="197"/>
      <c r="O18" s="162"/>
      <c r="P18" s="197"/>
      <c r="Q18" s="162"/>
      <c r="R18" s="197"/>
      <c r="S18" s="198"/>
      <c r="T18" s="197"/>
      <c r="U18" s="198"/>
      <c r="V18" s="197"/>
      <c r="W18" s="198"/>
      <c r="X18" s="165"/>
      <c r="Y18" s="162"/>
      <c r="Z18" s="388"/>
      <c r="AA18" s="389"/>
      <c r="AB18" s="391"/>
      <c r="AC18" s="390"/>
      <c r="AD18" s="388"/>
      <c r="AE18" s="389"/>
      <c r="AF18" s="391"/>
      <c r="AG18" s="390"/>
      <c r="AH18" s="388"/>
      <c r="AI18" s="388"/>
    </row>
    <row r="19" spans="2:35" ht="20.100000000000001" customHeight="1" x14ac:dyDescent="0.25">
      <c r="B19" s="762"/>
      <c r="C19" s="154"/>
      <c r="D19" s="189" t="str">
        <f>'2.6 Сварка'!G70</f>
        <v>Марганец и его соед.</v>
      </c>
      <c r="E19" s="190" t="str">
        <f>'2.6 Сварка'!H70</f>
        <v>0143</v>
      </c>
      <c r="F19" s="191"/>
      <c r="G19" s="192"/>
      <c r="H19" s="201"/>
      <c r="I19" s="200"/>
      <c r="J19" s="228">
        <f>'2.6 Сварка'!J70</f>
        <v>5.1999999999999998E-3</v>
      </c>
      <c r="K19" s="192">
        <f>'2.6 Сварка'!K70</f>
        <v>5.3E-3</v>
      </c>
      <c r="L19" s="197"/>
      <c r="M19" s="198"/>
      <c r="N19" s="197"/>
      <c r="O19" s="162"/>
      <c r="P19" s="197"/>
      <c r="Q19" s="162"/>
      <c r="R19" s="197"/>
      <c r="S19" s="198"/>
      <c r="T19" s="197"/>
      <c r="U19" s="198"/>
      <c r="V19" s="197"/>
      <c r="W19" s="198"/>
      <c r="X19" s="165"/>
      <c r="Y19" s="162"/>
      <c r="Z19" s="388"/>
      <c r="AA19" s="389"/>
      <c r="AB19" s="391"/>
      <c r="AC19" s="390"/>
      <c r="AD19" s="388"/>
      <c r="AE19" s="389"/>
      <c r="AF19" s="391"/>
      <c r="AG19" s="390"/>
      <c r="AH19" s="388"/>
      <c r="AI19" s="388"/>
    </row>
    <row r="20" spans="2:35" ht="20.100000000000001" customHeight="1" x14ac:dyDescent="0.25">
      <c r="B20" s="762"/>
      <c r="C20" s="154"/>
      <c r="D20" s="189" t="str">
        <f>'2.6 Сварка'!G71</f>
        <v>Фториды</v>
      </c>
      <c r="E20" s="190" t="str">
        <f>'2.6 Сварка'!H71</f>
        <v>0344</v>
      </c>
      <c r="F20" s="191"/>
      <c r="G20" s="192"/>
      <c r="H20" s="201"/>
      <c r="I20" s="200"/>
      <c r="J20" s="228">
        <f>'2.6 Сварка'!J71</f>
        <v>1.8499999999999999E-2</v>
      </c>
      <c r="K20" s="192">
        <f>'2.6 Сварка'!K71</f>
        <v>1.9099999999999999E-2</v>
      </c>
      <c r="L20" s="197"/>
      <c r="M20" s="198"/>
      <c r="N20" s="197"/>
      <c r="O20" s="162"/>
      <c r="P20" s="197"/>
      <c r="Q20" s="162"/>
      <c r="R20" s="197"/>
      <c r="S20" s="198"/>
      <c r="T20" s="197"/>
      <c r="U20" s="198"/>
      <c r="V20" s="197"/>
      <c r="W20" s="198"/>
      <c r="X20" s="165"/>
      <c r="Y20" s="162"/>
      <c r="Z20" s="388"/>
      <c r="AA20" s="389"/>
      <c r="AB20" s="391"/>
      <c r="AC20" s="390"/>
      <c r="AD20" s="388"/>
      <c r="AE20" s="389"/>
      <c r="AF20" s="391"/>
      <c r="AG20" s="390"/>
      <c r="AH20" s="388"/>
      <c r="AI20" s="388"/>
    </row>
    <row r="21" spans="2:35" ht="20.100000000000001" customHeight="1" x14ac:dyDescent="0.25">
      <c r="B21" s="762"/>
      <c r="C21" s="154"/>
      <c r="D21" s="189" t="str">
        <f>'2.6 Сварка'!G72</f>
        <v>Железа оксид</v>
      </c>
      <c r="E21" s="190" t="str">
        <f>'2.6 Сварка'!H72</f>
        <v>0123</v>
      </c>
      <c r="F21" s="191"/>
      <c r="G21" s="192"/>
      <c r="H21" s="201"/>
      <c r="I21" s="200"/>
      <c r="J21" s="228">
        <f>'2.6 Сварка'!J72</f>
        <v>0.06</v>
      </c>
      <c r="K21" s="192">
        <f>'2.6 Сварка'!K72</f>
        <v>6.1800000000000001E-2</v>
      </c>
      <c r="L21" s="197"/>
      <c r="M21" s="198"/>
      <c r="N21" s="197"/>
      <c r="O21" s="162"/>
      <c r="P21" s="197"/>
      <c r="Q21" s="162"/>
      <c r="R21" s="197"/>
      <c r="S21" s="198"/>
      <c r="T21" s="197"/>
      <c r="U21" s="198"/>
      <c r="V21" s="197"/>
      <c r="W21" s="198"/>
      <c r="X21" s="165"/>
      <c r="Y21" s="162"/>
      <c r="Z21" s="388"/>
      <c r="AA21" s="389"/>
      <c r="AB21" s="391"/>
      <c r="AC21" s="390"/>
      <c r="AD21" s="388"/>
      <c r="AE21" s="389"/>
      <c r="AF21" s="391"/>
      <c r="AG21" s="390"/>
      <c r="AH21" s="388"/>
      <c r="AI21" s="388"/>
    </row>
    <row r="22" spans="2:35" ht="20.100000000000001" customHeight="1" x14ac:dyDescent="0.25">
      <c r="B22" s="762"/>
      <c r="C22" s="154"/>
      <c r="D22" s="189" t="str">
        <f>'2.6 Сварка'!G73</f>
        <v>Пыль неорг.с сод-м SiO2 70-20 %</v>
      </c>
      <c r="E22" s="190">
        <f>'2.6 Сварка'!H73</f>
        <v>2908</v>
      </c>
      <c r="F22" s="191"/>
      <c r="G22" s="192"/>
      <c r="H22" s="201"/>
      <c r="I22" s="200"/>
      <c r="J22" s="228">
        <f>'2.6 Сварка'!J73</f>
        <v>7.9000000000000008E-3</v>
      </c>
      <c r="K22" s="192">
        <f>'2.6 Сварка'!K73</f>
        <v>8.0999999999999996E-3</v>
      </c>
      <c r="L22" s="197"/>
      <c r="M22" s="198"/>
      <c r="N22" s="197"/>
      <c r="O22" s="162"/>
      <c r="P22" s="197"/>
      <c r="Q22" s="162"/>
      <c r="R22" s="197"/>
      <c r="S22" s="198"/>
      <c r="T22" s="197"/>
      <c r="U22" s="198"/>
      <c r="V22" s="197"/>
      <c r="W22" s="198"/>
      <c r="X22" s="165"/>
      <c r="Y22" s="162"/>
      <c r="Z22" s="388"/>
      <c r="AA22" s="389"/>
      <c r="AB22" s="391"/>
      <c r="AC22" s="390"/>
      <c r="AD22" s="388"/>
      <c r="AE22" s="389"/>
      <c r="AF22" s="391"/>
      <c r="AG22" s="390"/>
      <c r="AH22" s="388"/>
      <c r="AI22" s="388"/>
    </row>
    <row r="23" spans="2:35" s="179" customFormat="1" ht="20.100000000000001" customHeight="1" x14ac:dyDescent="0.25">
      <c r="B23" s="762"/>
      <c r="C23" s="183"/>
      <c r="D23" s="199" t="str">
        <f>'2.6 Сварка'!G74</f>
        <v>Оксид углерода</v>
      </c>
      <c r="E23" s="200" t="str">
        <f>'2.6 Сварка'!H74</f>
        <v>0337</v>
      </c>
      <c r="F23" s="201">
        <f>'2.7сварка полиэтилена'!H35</f>
        <v>1.7200000000000001E-5</v>
      </c>
      <c r="G23" s="202">
        <f>'2.7сварка полиэтилена'!I35</f>
        <v>7.2999999999999996E-6</v>
      </c>
      <c r="H23" s="239">
        <f>'2.7сварка полиэтилена'!H39</f>
        <v>1.9999999999999999E-7</v>
      </c>
      <c r="I23" s="202">
        <f>'2.7сварка полиэтилена'!I39</f>
        <v>2.9999999999999999E-7</v>
      </c>
      <c r="J23" s="239">
        <f>'2.6 Сварка'!J74</f>
        <v>7.46E-2</v>
      </c>
      <c r="K23" s="202">
        <f>'2.6 Сварка'!K74</f>
        <v>7.6899999999999996E-2</v>
      </c>
      <c r="L23" s="203"/>
      <c r="M23" s="204"/>
      <c r="N23" s="203">
        <f>'2.7сварка полиэтилена'!H56</f>
        <v>2.3E-6</v>
      </c>
      <c r="O23" s="204">
        <f>'2.7сварка полиэтилена'!I56</f>
        <v>7.0500000000000003E-6</v>
      </c>
      <c r="P23" s="203">
        <f>'2.7сварка полиэтилена'!H60</f>
        <v>1.9999999999999999E-7</v>
      </c>
      <c r="Q23" s="204">
        <f>'2.7сварка полиэтилена'!I60</f>
        <v>2.9999999999999997E-8</v>
      </c>
      <c r="R23" s="205">
        <f>'2.7сварка полиэтилена'!H68</f>
        <v>2.3E-6</v>
      </c>
      <c r="S23" s="448">
        <f>'2.7сварка полиэтилена'!I68</f>
        <v>8.0499999999999992E-6</v>
      </c>
      <c r="T23" s="203">
        <f>'2.7сварка полиэтилена'!H72</f>
        <v>1.9999999999999999E-7</v>
      </c>
      <c r="U23" s="204">
        <f>'2.7сварка полиэтилена'!I72</f>
        <v>2.9999999999999997E-8</v>
      </c>
      <c r="V23" s="203">
        <f>'2.7сварка полиэтилена'!H76</f>
        <v>1.9999999999999999E-6</v>
      </c>
      <c r="W23" s="204">
        <f>'2.7сварка полиэтилена'!I76</f>
        <v>7.9999999999999996E-6</v>
      </c>
      <c r="X23" s="207">
        <f>'2.7сварка полиэтилена'!H80</f>
        <v>3.9999999999999998E-7</v>
      </c>
      <c r="Y23" s="204">
        <f>'2.7сварка полиэтилена'!I80</f>
        <v>9.9999999999999995E-8</v>
      </c>
      <c r="Z23" s="729">
        <f>'2.7сварка полиэтилена'!H84</f>
        <v>2.9999999999999999E-7</v>
      </c>
      <c r="AA23" s="730">
        <f>'2.7сварка полиэтилена'!I84</f>
        <v>2E-8</v>
      </c>
      <c r="AB23" s="205">
        <f>'2.7сварка полиэтилена'!H88</f>
        <v>1.9999999999999999E-6</v>
      </c>
      <c r="AC23" s="204">
        <f>'2.7сварка полиэтилена'!I88</f>
        <v>9.0000000000000002E-6</v>
      </c>
      <c r="AD23" s="203">
        <f>'2.7сварка полиэтилена'!H92</f>
        <v>3.9999999999999998E-7</v>
      </c>
      <c r="AE23" s="204">
        <f>'2.7сварка полиэтилена'!I92</f>
        <v>9.9999999999999995E-8</v>
      </c>
      <c r="AF23" s="394">
        <f>'2.7сварка полиэтилена'!H96</f>
        <v>1.9999999999999999E-7</v>
      </c>
      <c r="AG23" s="394">
        <f>'2.7сварка полиэтилена'!I96</f>
        <v>2E-8</v>
      </c>
      <c r="AH23" s="392"/>
      <c r="AI23" s="392"/>
    </row>
    <row r="24" spans="2:35" s="179" customFormat="1" ht="20.100000000000001" customHeight="1" x14ac:dyDescent="0.25">
      <c r="B24" s="761"/>
      <c r="C24" s="184"/>
      <c r="D24" s="208" t="str">
        <f>'2.7сварка полиэтилена'!F36</f>
        <v>Хлорэтилен /Винилхлорид/</v>
      </c>
      <c r="E24" s="209" t="str">
        <f>'2.7сварка полиэтилена'!G36</f>
        <v>0827</v>
      </c>
      <c r="F24" s="210">
        <f>'2.7сварка полиэтилена'!H36</f>
        <v>7.4000000000000003E-6</v>
      </c>
      <c r="G24" s="211">
        <f>'2.7сварка полиэтилена'!I36</f>
        <v>3.1E-6</v>
      </c>
      <c r="H24" s="239">
        <f>'2.7сварка полиэтилена'!H40</f>
        <v>9.9999999999999995E-8</v>
      </c>
      <c r="I24" s="211">
        <f>'2.7сварка полиэтилена'!I40</f>
        <v>9.9999999999999995E-8</v>
      </c>
      <c r="J24" s="210"/>
      <c r="K24" s="211"/>
      <c r="L24" s="212"/>
      <c r="M24" s="213"/>
      <c r="N24" s="212">
        <f>'2.7сварка полиэтилена'!H57</f>
        <v>1.1000000000000001E-6</v>
      </c>
      <c r="O24" s="213">
        <f>'2.7сварка полиэтилена'!I57</f>
        <v>3.0199999999999999E-6</v>
      </c>
      <c r="P24" s="203">
        <f>'2.7сварка полиэтилена'!H61</f>
        <v>9.9999999999999995E-8</v>
      </c>
      <c r="Q24" s="213">
        <f>'2.7сварка полиэтилена'!I61</f>
        <v>1E-8</v>
      </c>
      <c r="R24" s="214">
        <f>'2.7сварка полиэтилена'!H69</f>
        <v>1.1000000000000001E-6</v>
      </c>
      <c r="S24" s="449">
        <f>'2.7сварка полиэтилена'!I69</f>
        <v>3.0199999999999999E-6</v>
      </c>
      <c r="T24" s="203">
        <f>'2.7сварка полиэтилена'!H73</f>
        <v>9.9999999999999995E-8</v>
      </c>
      <c r="U24" s="213">
        <f>'2.7сварка полиэтилена'!I73</f>
        <v>1E-8</v>
      </c>
      <c r="V24" s="212">
        <f>'2.7сварка полиэтилена'!H77</f>
        <v>9.9999999999999995E-7</v>
      </c>
      <c r="W24" s="213">
        <f>'2.7сварка полиэтилена'!I77</f>
        <v>3.9999999999999998E-6</v>
      </c>
      <c r="X24" s="216">
        <f>'2.7сварка полиэтилена'!H81</f>
        <v>9.9999999999999995E-8</v>
      </c>
      <c r="Y24" s="213">
        <f>'2.7сварка полиэтилена'!I81</f>
        <v>2.9999999999999997E-8</v>
      </c>
      <c r="Z24" s="729">
        <f>'2.7сварка полиэтилена'!H85</f>
        <v>9.9999999999999995E-8</v>
      </c>
      <c r="AA24" s="731">
        <f>'2.7сварка полиэтилена'!I85</f>
        <v>1E-8</v>
      </c>
      <c r="AB24" s="214">
        <f>'2.7сварка полиэтилена'!H89</f>
        <v>9.9999999999999995E-7</v>
      </c>
      <c r="AC24" s="213">
        <f>'2.7сварка полиэтилена'!I89</f>
        <v>3.9999999999999998E-6</v>
      </c>
      <c r="AD24" s="212">
        <f>'2.7сварка полиэтилена'!H93</f>
        <v>9.9999999999999995E-8</v>
      </c>
      <c r="AE24" s="213">
        <f>'2.7сварка полиэтилена'!I93</f>
        <v>2E-8</v>
      </c>
      <c r="AF24" s="394">
        <f>'2.7сварка полиэтилена'!H97</f>
        <v>9.9999999999999995E-8</v>
      </c>
      <c r="AG24" s="394">
        <f>'2.7сварка полиэтилена'!I97</f>
        <v>1E-8</v>
      </c>
      <c r="AH24" s="395"/>
      <c r="AI24" s="395"/>
    </row>
    <row r="25" spans="2:35" ht="20.100000000000001" customHeight="1" x14ac:dyDescent="0.25">
      <c r="B25" s="756" t="s">
        <v>474</v>
      </c>
      <c r="C25" s="152">
        <v>8007</v>
      </c>
      <c r="D25" s="185" t="str">
        <f>'2.6 Сварка'!G76</f>
        <v>Фтористые газ.соед</v>
      </c>
      <c r="E25" s="186" t="str">
        <f>'2.6 Сварка'!H76</f>
        <v>0342</v>
      </c>
      <c r="F25" s="187"/>
      <c r="G25" s="188"/>
      <c r="H25" s="220"/>
      <c r="I25" s="219"/>
      <c r="J25" s="238">
        <f>'2.6 Сварка'!J76</f>
        <v>2.0000000000000001E-4</v>
      </c>
      <c r="K25" s="188">
        <f>'2.6 Сварка'!K76</f>
        <v>2.0000000000000002E-5</v>
      </c>
      <c r="L25" s="440"/>
      <c r="M25" s="441"/>
      <c r="N25" s="440"/>
      <c r="O25" s="163"/>
      <c r="P25" s="440"/>
      <c r="Q25" s="163"/>
      <c r="R25" s="440"/>
      <c r="S25" s="441"/>
      <c r="T25" s="440"/>
      <c r="U25" s="441"/>
      <c r="V25" s="440"/>
      <c r="W25" s="441"/>
      <c r="X25" s="164"/>
      <c r="Y25" s="163"/>
      <c r="Z25" s="384"/>
      <c r="AA25" s="385"/>
      <c r="AB25" s="387"/>
      <c r="AC25" s="386"/>
      <c r="AD25" s="384"/>
      <c r="AE25" s="385"/>
      <c r="AF25" s="387"/>
      <c r="AG25" s="386"/>
      <c r="AH25" s="384"/>
      <c r="AI25" s="384"/>
    </row>
    <row r="26" spans="2:35" ht="20.100000000000001" customHeight="1" x14ac:dyDescent="0.25">
      <c r="B26" s="758"/>
      <c r="C26" s="149"/>
      <c r="D26" s="189" t="str">
        <f>'2.6 Сварка'!G77</f>
        <v>Диоксид азота</v>
      </c>
      <c r="E26" s="190" t="str">
        <f>'2.6 Сварка'!H77</f>
        <v>0301</v>
      </c>
      <c r="F26" s="191"/>
      <c r="G26" s="192"/>
      <c r="H26" s="201"/>
      <c r="I26" s="200"/>
      <c r="J26" s="228">
        <f>'2.6 Сварка'!J77</f>
        <v>2.9999999999999997E-4</v>
      </c>
      <c r="K26" s="192">
        <f>'2.6 Сварка'!K77</f>
        <v>5.0000000000000002E-5</v>
      </c>
      <c r="L26" s="197"/>
      <c r="M26" s="198"/>
      <c r="N26" s="197"/>
      <c r="O26" s="162"/>
      <c r="P26" s="197"/>
      <c r="Q26" s="162"/>
      <c r="R26" s="197"/>
      <c r="S26" s="198"/>
      <c r="T26" s="197"/>
      <c r="U26" s="198"/>
      <c r="V26" s="197"/>
      <c r="W26" s="198"/>
      <c r="X26" s="165"/>
      <c r="Y26" s="162"/>
      <c r="Z26" s="388"/>
      <c r="AA26" s="389"/>
      <c r="AB26" s="391"/>
      <c r="AC26" s="390"/>
      <c r="AD26" s="388"/>
      <c r="AE26" s="389"/>
      <c r="AF26" s="391"/>
      <c r="AG26" s="390"/>
      <c r="AH26" s="388"/>
      <c r="AI26" s="388"/>
    </row>
    <row r="27" spans="2:35" ht="20.100000000000001" customHeight="1" x14ac:dyDescent="0.25">
      <c r="B27" s="758"/>
      <c r="C27" s="149"/>
      <c r="D27" s="189" t="str">
        <f>'2.6 Сварка'!G78</f>
        <v>Марганец и его соед.</v>
      </c>
      <c r="E27" s="190" t="str">
        <f>'2.6 Сварка'!H78</f>
        <v>0143</v>
      </c>
      <c r="F27" s="191"/>
      <c r="G27" s="192"/>
      <c r="H27" s="201"/>
      <c r="I27" s="200"/>
      <c r="J27" s="228">
        <f>'2.6 Сварка'!J78</f>
        <v>2.0000000000000001E-4</v>
      </c>
      <c r="K27" s="192">
        <f>'2.6 Сварка'!K78</f>
        <v>3.0000000000000001E-5</v>
      </c>
      <c r="L27" s="197"/>
      <c r="M27" s="198"/>
      <c r="N27" s="197"/>
      <c r="O27" s="162"/>
      <c r="P27" s="197"/>
      <c r="Q27" s="162"/>
      <c r="R27" s="197"/>
      <c r="S27" s="198"/>
      <c r="T27" s="197"/>
      <c r="U27" s="198"/>
      <c r="V27" s="197"/>
      <c r="W27" s="198"/>
      <c r="X27" s="165"/>
      <c r="Y27" s="162"/>
      <c r="Z27" s="388"/>
      <c r="AA27" s="389"/>
      <c r="AB27" s="391"/>
      <c r="AC27" s="390"/>
      <c r="AD27" s="388"/>
      <c r="AE27" s="389"/>
      <c r="AF27" s="391"/>
      <c r="AG27" s="390"/>
      <c r="AH27" s="388"/>
      <c r="AI27" s="388"/>
    </row>
    <row r="28" spans="2:35" ht="20.100000000000001" customHeight="1" x14ac:dyDescent="0.25">
      <c r="B28" s="758"/>
      <c r="C28" s="149"/>
      <c r="D28" s="189" t="str">
        <f>'2.6 Сварка'!G79</f>
        <v>Фториды</v>
      </c>
      <c r="E28" s="190" t="str">
        <f>'2.6 Сварка'!H79</f>
        <v>0344</v>
      </c>
      <c r="F28" s="191"/>
      <c r="G28" s="192"/>
      <c r="H28" s="201"/>
      <c r="I28" s="200"/>
      <c r="J28" s="228">
        <f>'2.6 Сварка'!J79</f>
        <v>6.9999999999999999E-4</v>
      </c>
      <c r="K28" s="192">
        <f>'2.6 Сварка'!K79</f>
        <v>1E-4</v>
      </c>
      <c r="L28" s="197"/>
      <c r="M28" s="198"/>
      <c r="N28" s="197"/>
      <c r="O28" s="162"/>
      <c r="P28" s="197"/>
      <c r="Q28" s="162"/>
      <c r="R28" s="197"/>
      <c r="S28" s="198"/>
      <c r="T28" s="197"/>
      <c r="U28" s="198"/>
      <c r="V28" s="197"/>
      <c r="W28" s="198"/>
      <c r="X28" s="165"/>
      <c r="Y28" s="162"/>
      <c r="Z28" s="388"/>
      <c r="AA28" s="389"/>
      <c r="AB28" s="391"/>
      <c r="AC28" s="390"/>
      <c r="AD28" s="388"/>
      <c r="AE28" s="389"/>
      <c r="AF28" s="391"/>
      <c r="AG28" s="390"/>
      <c r="AH28" s="388"/>
      <c r="AI28" s="388"/>
    </row>
    <row r="29" spans="2:35" ht="20.100000000000001" customHeight="1" x14ac:dyDescent="0.25">
      <c r="B29" s="758"/>
      <c r="C29" s="149"/>
      <c r="D29" s="189" t="str">
        <f>'2.6 Сварка'!G80</f>
        <v>Железа оксид</v>
      </c>
      <c r="E29" s="190" t="str">
        <f>'2.6 Сварка'!H80</f>
        <v>0123</v>
      </c>
      <c r="F29" s="191"/>
      <c r="G29" s="192"/>
      <c r="H29" s="201"/>
      <c r="I29" s="200"/>
      <c r="J29" s="228">
        <f>'2.6 Сварка'!J80</f>
        <v>2.3999999999999998E-3</v>
      </c>
      <c r="K29" s="192">
        <f>'2.6 Сварка'!K80</f>
        <v>2.9999999999999997E-4</v>
      </c>
      <c r="L29" s="197"/>
      <c r="M29" s="198"/>
      <c r="N29" s="197"/>
      <c r="O29" s="162"/>
      <c r="P29" s="197"/>
      <c r="Q29" s="162"/>
      <c r="R29" s="197"/>
      <c r="S29" s="198"/>
      <c r="T29" s="197"/>
      <c r="U29" s="198"/>
      <c r="V29" s="197"/>
      <c r="W29" s="198"/>
      <c r="X29" s="165"/>
      <c r="Y29" s="162"/>
      <c r="Z29" s="388"/>
      <c r="AA29" s="389"/>
      <c r="AB29" s="391"/>
      <c r="AC29" s="390"/>
      <c r="AD29" s="388"/>
      <c r="AE29" s="389"/>
      <c r="AF29" s="391"/>
      <c r="AG29" s="390"/>
      <c r="AH29" s="388"/>
      <c r="AI29" s="388"/>
    </row>
    <row r="30" spans="2:35" ht="20.100000000000001" customHeight="1" x14ac:dyDescent="0.25">
      <c r="B30" s="758"/>
      <c r="C30" s="149"/>
      <c r="D30" s="189" t="str">
        <f>'2.6 Сварка'!G81</f>
        <v>Пыль неорг.с сод-м SiO2 70-20 %</v>
      </c>
      <c r="E30" s="190">
        <f>'2.6 Сварка'!H81</f>
        <v>2908</v>
      </c>
      <c r="F30" s="191"/>
      <c r="G30" s="192"/>
      <c r="H30" s="201"/>
      <c r="I30" s="200"/>
      <c r="J30" s="228">
        <f>'2.6 Сварка'!J81</f>
        <v>2.9999999999999997E-4</v>
      </c>
      <c r="K30" s="192">
        <f>'2.6 Сварка'!K81</f>
        <v>4.0000000000000003E-5</v>
      </c>
      <c r="L30" s="197"/>
      <c r="M30" s="198"/>
      <c r="N30" s="197"/>
      <c r="O30" s="162"/>
      <c r="P30" s="197"/>
      <c r="Q30" s="162"/>
      <c r="R30" s="197"/>
      <c r="S30" s="198"/>
      <c r="T30" s="197"/>
      <c r="U30" s="198"/>
      <c r="V30" s="197"/>
      <c r="W30" s="198"/>
      <c r="X30" s="165"/>
      <c r="Y30" s="162"/>
      <c r="Z30" s="388"/>
      <c r="AA30" s="389"/>
      <c r="AB30" s="391"/>
      <c r="AC30" s="390"/>
      <c r="AD30" s="388"/>
      <c r="AE30" s="389"/>
      <c r="AF30" s="391"/>
      <c r="AG30" s="390"/>
      <c r="AH30" s="388"/>
      <c r="AI30" s="388"/>
    </row>
    <row r="31" spans="2:35" ht="20.100000000000001" customHeight="1" x14ac:dyDescent="0.25">
      <c r="B31" s="757"/>
      <c r="C31" s="150"/>
      <c r="D31" s="193" t="str">
        <f>'2.6 Сварка'!G82</f>
        <v>Оксид углерода</v>
      </c>
      <c r="E31" s="194" t="str">
        <f>'2.6 Сварка'!H82</f>
        <v>0337</v>
      </c>
      <c r="F31" s="195"/>
      <c r="G31" s="196"/>
      <c r="H31" s="210"/>
      <c r="I31" s="209"/>
      <c r="J31" s="240">
        <f>'2.6 Сварка'!J82</f>
        <v>3.0000000000000001E-3</v>
      </c>
      <c r="K31" s="196">
        <f>'2.6 Сварка'!K82</f>
        <v>4.0000000000000002E-4</v>
      </c>
      <c r="L31" s="442"/>
      <c r="M31" s="443"/>
      <c r="N31" s="442"/>
      <c r="O31" s="586"/>
      <c r="P31" s="442"/>
      <c r="Q31" s="586"/>
      <c r="R31" s="442"/>
      <c r="S31" s="443"/>
      <c r="T31" s="442"/>
      <c r="U31" s="443"/>
      <c r="V31" s="442"/>
      <c r="W31" s="443"/>
      <c r="X31" s="607"/>
      <c r="Y31" s="586"/>
      <c r="Z31" s="397"/>
      <c r="AA31" s="398"/>
      <c r="AB31" s="400"/>
      <c r="AC31" s="399"/>
      <c r="AD31" s="397"/>
      <c r="AE31" s="398"/>
      <c r="AF31" s="400"/>
      <c r="AG31" s="399"/>
      <c r="AH31" s="397"/>
      <c r="AI31" s="397"/>
    </row>
    <row r="32" spans="2:35" ht="20.100000000000001" customHeight="1" x14ac:dyDescent="0.25">
      <c r="B32" s="756" t="s">
        <v>291</v>
      </c>
      <c r="C32" s="152">
        <v>8008</v>
      </c>
      <c r="D32" s="185" t="str">
        <f>'2.6 Сварка'!G84</f>
        <v>Фтористые газ.соед</v>
      </c>
      <c r="E32" s="186" t="str">
        <f>'2.6 Сварка'!H84</f>
        <v>0342</v>
      </c>
      <c r="F32" s="187"/>
      <c r="G32" s="188"/>
      <c r="H32" s="220"/>
      <c r="I32" s="219"/>
      <c r="J32" s="238">
        <f>'2.6 Сварка'!J84</f>
        <v>2.0000000000000001E-4</v>
      </c>
      <c r="K32" s="188">
        <f>'2.6 Сварка'!K84</f>
        <v>1.0000000000000001E-5</v>
      </c>
      <c r="L32" s="440"/>
      <c r="M32" s="441"/>
      <c r="N32" s="440"/>
      <c r="O32" s="163"/>
      <c r="P32" s="440"/>
      <c r="Q32" s="163"/>
      <c r="R32" s="440"/>
      <c r="S32" s="441"/>
      <c r="T32" s="440"/>
      <c r="U32" s="441"/>
      <c r="V32" s="440"/>
      <c r="W32" s="441"/>
      <c r="X32" s="164"/>
      <c r="Y32" s="163"/>
      <c r="Z32" s="384"/>
      <c r="AA32" s="385"/>
      <c r="AB32" s="387"/>
      <c r="AC32" s="386"/>
      <c r="AD32" s="384"/>
      <c r="AE32" s="385"/>
      <c r="AF32" s="387"/>
      <c r="AG32" s="386"/>
      <c r="AH32" s="384"/>
      <c r="AI32" s="384"/>
    </row>
    <row r="33" spans="2:35" ht="20.100000000000001" customHeight="1" x14ac:dyDescent="0.25">
      <c r="B33" s="758"/>
      <c r="C33" s="149"/>
      <c r="D33" s="189" t="str">
        <f>'2.6 Сварка'!G85</f>
        <v>Диоксид азота</v>
      </c>
      <c r="E33" s="190" t="str">
        <f>'2.6 Сварка'!H85</f>
        <v>0301</v>
      </c>
      <c r="F33" s="191"/>
      <c r="G33" s="192"/>
      <c r="H33" s="201"/>
      <c r="I33" s="200"/>
      <c r="J33" s="228">
        <f>'2.6 Сварка'!J85</f>
        <v>2.9999999999999997E-4</v>
      </c>
      <c r="K33" s="192">
        <f>'2.6 Сварка'!K85</f>
        <v>2.0000000000000002E-5</v>
      </c>
      <c r="L33" s="197"/>
      <c r="M33" s="198"/>
      <c r="N33" s="197"/>
      <c r="O33" s="162"/>
      <c r="P33" s="197"/>
      <c r="Q33" s="162"/>
      <c r="R33" s="197"/>
      <c r="S33" s="198"/>
      <c r="T33" s="197"/>
      <c r="U33" s="198"/>
      <c r="V33" s="197"/>
      <c r="W33" s="198"/>
      <c r="X33" s="165"/>
      <c r="Y33" s="162"/>
      <c r="Z33" s="388"/>
      <c r="AA33" s="389"/>
      <c r="AB33" s="391"/>
      <c r="AC33" s="390"/>
      <c r="AD33" s="388"/>
      <c r="AE33" s="389"/>
      <c r="AF33" s="391"/>
      <c r="AG33" s="390"/>
      <c r="AH33" s="388"/>
      <c r="AI33" s="388"/>
    </row>
    <row r="34" spans="2:35" ht="20.100000000000001" customHeight="1" x14ac:dyDescent="0.25">
      <c r="B34" s="758"/>
      <c r="C34" s="149"/>
      <c r="D34" s="189" t="str">
        <f>'2.6 Сварка'!G86</f>
        <v>Марганец и его соед.</v>
      </c>
      <c r="E34" s="190" t="str">
        <f>'2.6 Сварка'!H86</f>
        <v>0143</v>
      </c>
      <c r="F34" s="191"/>
      <c r="G34" s="192"/>
      <c r="H34" s="201"/>
      <c r="I34" s="200"/>
      <c r="J34" s="228">
        <f>'2.6 Сварка'!J86</f>
        <v>2.0000000000000001E-4</v>
      </c>
      <c r="K34" s="192">
        <f>'2.6 Сварка'!K86</f>
        <v>2.0000000000000002E-5</v>
      </c>
      <c r="L34" s="197"/>
      <c r="M34" s="198"/>
      <c r="N34" s="197"/>
      <c r="O34" s="162"/>
      <c r="P34" s="197"/>
      <c r="Q34" s="162"/>
      <c r="R34" s="197"/>
      <c r="S34" s="198"/>
      <c r="T34" s="197"/>
      <c r="U34" s="198"/>
      <c r="V34" s="197"/>
      <c r="W34" s="198"/>
      <c r="X34" s="165"/>
      <c r="Y34" s="162"/>
      <c r="Z34" s="388"/>
      <c r="AA34" s="389"/>
      <c r="AB34" s="391"/>
      <c r="AC34" s="390"/>
      <c r="AD34" s="388"/>
      <c r="AE34" s="389"/>
      <c r="AF34" s="391"/>
      <c r="AG34" s="390"/>
      <c r="AH34" s="388"/>
      <c r="AI34" s="388"/>
    </row>
    <row r="35" spans="2:35" ht="20.100000000000001" customHeight="1" x14ac:dyDescent="0.25">
      <c r="B35" s="758"/>
      <c r="C35" s="149"/>
      <c r="D35" s="189" t="str">
        <f>'2.6 Сварка'!G87</f>
        <v>Фториды</v>
      </c>
      <c r="E35" s="190" t="str">
        <f>'2.6 Сварка'!H87</f>
        <v>0344</v>
      </c>
      <c r="F35" s="191"/>
      <c r="G35" s="192"/>
      <c r="H35" s="201"/>
      <c r="I35" s="200"/>
      <c r="J35" s="228">
        <f>'2.6 Сварка'!J87</f>
        <v>6.9999999999999999E-4</v>
      </c>
      <c r="K35" s="192">
        <f>'2.6 Сварка'!K87</f>
        <v>1E-4</v>
      </c>
      <c r="L35" s="197"/>
      <c r="M35" s="198"/>
      <c r="N35" s="197"/>
      <c r="O35" s="162"/>
      <c r="P35" s="197"/>
      <c r="Q35" s="162"/>
      <c r="R35" s="197"/>
      <c r="S35" s="198"/>
      <c r="T35" s="197"/>
      <c r="U35" s="198"/>
      <c r="V35" s="197"/>
      <c r="W35" s="198"/>
      <c r="X35" s="165"/>
      <c r="Y35" s="162"/>
      <c r="Z35" s="388"/>
      <c r="AA35" s="389"/>
      <c r="AB35" s="391"/>
      <c r="AC35" s="390"/>
      <c r="AD35" s="388"/>
      <c r="AE35" s="389"/>
      <c r="AF35" s="391"/>
      <c r="AG35" s="390"/>
      <c r="AH35" s="388"/>
      <c r="AI35" s="388"/>
    </row>
    <row r="36" spans="2:35" ht="20.100000000000001" customHeight="1" x14ac:dyDescent="0.25">
      <c r="B36" s="758"/>
      <c r="C36" s="149"/>
      <c r="D36" s="189" t="str">
        <f>'2.6 Сварка'!G88</f>
        <v>Железа оксид</v>
      </c>
      <c r="E36" s="190" t="str">
        <f>'2.6 Сварка'!H88</f>
        <v>0123</v>
      </c>
      <c r="F36" s="191"/>
      <c r="G36" s="192"/>
      <c r="H36" s="201"/>
      <c r="I36" s="200"/>
      <c r="J36" s="228">
        <f>'2.6 Сварка'!J88</f>
        <v>2.3999999999999998E-3</v>
      </c>
      <c r="K36" s="192">
        <f>'2.6 Сварка'!K88</f>
        <v>2.0000000000000001E-4</v>
      </c>
      <c r="L36" s="197"/>
      <c r="M36" s="198"/>
      <c r="N36" s="197"/>
      <c r="O36" s="162"/>
      <c r="P36" s="197"/>
      <c r="Q36" s="162"/>
      <c r="R36" s="197"/>
      <c r="S36" s="198"/>
      <c r="T36" s="197"/>
      <c r="U36" s="198"/>
      <c r="V36" s="197"/>
      <c r="W36" s="198"/>
      <c r="X36" s="165"/>
      <c r="Y36" s="162"/>
      <c r="Z36" s="388"/>
      <c r="AA36" s="389"/>
      <c r="AB36" s="391"/>
      <c r="AC36" s="390"/>
      <c r="AD36" s="388"/>
      <c r="AE36" s="389"/>
      <c r="AF36" s="391"/>
      <c r="AG36" s="390"/>
      <c r="AH36" s="388"/>
      <c r="AI36" s="388"/>
    </row>
    <row r="37" spans="2:35" ht="20.100000000000001" customHeight="1" x14ac:dyDescent="0.25">
      <c r="B37" s="758"/>
      <c r="C37" s="149"/>
      <c r="D37" s="189" t="str">
        <f>'2.6 Сварка'!G89</f>
        <v>Пыль неорг.с сод-м SiO2 70-20 %</v>
      </c>
      <c r="E37" s="190">
        <f>'2.6 Сварка'!H89</f>
        <v>2908</v>
      </c>
      <c r="F37" s="191"/>
      <c r="G37" s="192"/>
      <c r="H37" s="201"/>
      <c r="I37" s="200"/>
      <c r="J37" s="228">
        <f>'2.6 Сварка'!J89</f>
        <v>2.9999999999999997E-4</v>
      </c>
      <c r="K37" s="192">
        <f>'2.6 Сварка'!K89</f>
        <v>2.0000000000000002E-5</v>
      </c>
      <c r="L37" s="197"/>
      <c r="M37" s="198"/>
      <c r="N37" s="197"/>
      <c r="O37" s="162"/>
      <c r="P37" s="197"/>
      <c r="Q37" s="162"/>
      <c r="R37" s="197"/>
      <c r="S37" s="198"/>
      <c r="T37" s="197"/>
      <c r="U37" s="198"/>
      <c r="V37" s="197"/>
      <c r="W37" s="198"/>
      <c r="X37" s="165"/>
      <c r="Y37" s="162"/>
      <c r="Z37" s="388"/>
      <c r="AA37" s="389"/>
      <c r="AB37" s="391"/>
      <c r="AC37" s="390"/>
      <c r="AD37" s="388"/>
      <c r="AE37" s="389"/>
      <c r="AF37" s="391"/>
      <c r="AG37" s="390"/>
      <c r="AH37" s="388"/>
      <c r="AI37" s="388"/>
    </row>
    <row r="38" spans="2:35" ht="20.100000000000001" customHeight="1" x14ac:dyDescent="0.25">
      <c r="B38" s="757"/>
      <c r="C38" s="150"/>
      <c r="D38" s="193" t="str">
        <f>'2.6 Сварка'!G90</f>
        <v>Оксид углерода</v>
      </c>
      <c r="E38" s="194" t="str">
        <f>'2.6 Сварка'!H90</f>
        <v>0337</v>
      </c>
      <c r="F38" s="195"/>
      <c r="G38" s="196"/>
      <c r="H38" s="210"/>
      <c r="I38" s="209"/>
      <c r="J38" s="240">
        <f>'2.6 Сварка'!J90</f>
        <v>3.0000000000000001E-3</v>
      </c>
      <c r="K38" s="196">
        <f>'2.6 Сварка'!K90</f>
        <v>2.0000000000000001E-4</v>
      </c>
      <c r="L38" s="442"/>
      <c r="M38" s="443"/>
      <c r="N38" s="442"/>
      <c r="O38" s="586"/>
      <c r="P38" s="442"/>
      <c r="Q38" s="586"/>
      <c r="R38" s="442"/>
      <c r="S38" s="443"/>
      <c r="T38" s="442"/>
      <c r="U38" s="443"/>
      <c r="V38" s="442"/>
      <c r="W38" s="443"/>
      <c r="X38" s="607"/>
      <c r="Y38" s="586"/>
      <c r="Z38" s="397"/>
      <c r="AA38" s="398"/>
      <c r="AB38" s="400"/>
      <c r="AC38" s="399"/>
      <c r="AD38" s="397"/>
      <c r="AE38" s="398"/>
      <c r="AF38" s="400"/>
      <c r="AG38" s="399"/>
      <c r="AH38" s="397"/>
      <c r="AI38" s="397"/>
    </row>
    <row r="39" spans="2:35" ht="20.100000000000001" customHeight="1" x14ac:dyDescent="0.25">
      <c r="B39" s="756" t="s">
        <v>292</v>
      </c>
      <c r="C39" s="152">
        <v>8009</v>
      </c>
      <c r="D39" s="185" t="str">
        <f>'2.6 Сварка'!G92</f>
        <v>Фтористые газ.соед</v>
      </c>
      <c r="E39" s="186" t="str">
        <f>'2.6 Сварка'!H92</f>
        <v>0342</v>
      </c>
      <c r="F39" s="187"/>
      <c r="G39" s="188"/>
      <c r="H39" s="220"/>
      <c r="I39" s="219"/>
      <c r="J39" s="238">
        <f>'2.6 Сварка'!J92</f>
        <v>2.0000000000000001E-4</v>
      </c>
      <c r="K39" s="188">
        <f>'2.6 Сварка'!K92</f>
        <v>1.0000000000000001E-5</v>
      </c>
      <c r="L39" s="440"/>
      <c r="M39" s="441"/>
      <c r="N39" s="440"/>
      <c r="O39" s="163"/>
      <c r="P39" s="440"/>
      <c r="Q39" s="163"/>
      <c r="R39" s="440"/>
      <c r="S39" s="441"/>
      <c r="T39" s="440"/>
      <c r="U39" s="441"/>
      <c r="V39" s="440"/>
      <c r="W39" s="441"/>
      <c r="X39" s="164"/>
      <c r="Y39" s="163"/>
      <c r="Z39" s="384"/>
      <c r="AA39" s="385"/>
      <c r="AB39" s="387"/>
      <c r="AC39" s="386"/>
      <c r="AD39" s="384"/>
      <c r="AE39" s="385"/>
      <c r="AF39" s="387"/>
      <c r="AG39" s="386"/>
      <c r="AH39" s="384"/>
      <c r="AI39" s="384"/>
    </row>
    <row r="40" spans="2:35" ht="20.100000000000001" customHeight="1" x14ac:dyDescent="0.25">
      <c r="B40" s="758"/>
      <c r="C40" s="149"/>
      <c r="D40" s="189" t="str">
        <f>'2.6 Сварка'!G93</f>
        <v>Диоксид азота</v>
      </c>
      <c r="E40" s="190" t="str">
        <f>'2.6 Сварка'!H93</f>
        <v>0301</v>
      </c>
      <c r="F40" s="191"/>
      <c r="G40" s="192"/>
      <c r="H40" s="201"/>
      <c r="I40" s="200"/>
      <c r="J40" s="228">
        <f>'2.6 Сварка'!J93</f>
        <v>2.9999999999999997E-4</v>
      </c>
      <c r="K40" s="192">
        <f>'2.6 Сварка'!K93</f>
        <v>2.0000000000000002E-5</v>
      </c>
      <c r="L40" s="197"/>
      <c r="M40" s="198"/>
      <c r="N40" s="197"/>
      <c r="O40" s="162"/>
      <c r="P40" s="197"/>
      <c r="Q40" s="162"/>
      <c r="R40" s="197"/>
      <c r="S40" s="198"/>
      <c r="T40" s="197"/>
      <c r="U40" s="198"/>
      <c r="V40" s="197"/>
      <c r="W40" s="198"/>
      <c r="X40" s="165"/>
      <c r="Y40" s="162"/>
      <c r="Z40" s="388"/>
      <c r="AA40" s="389"/>
      <c r="AB40" s="391"/>
      <c r="AC40" s="390"/>
      <c r="AD40" s="388"/>
      <c r="AE40" s="389"/>
      <c r="AF40" s="391"/>
      <c r="AG40" s="390"/>
      <c r="AH40" s="388"/>
      <c r="AI40" s="388"/>
    </row>
    <row r="41" spans="2:35" ht="20.100000000000001" customHeight="1" x14ac:dyDescent="0.25">
      <c r="B41" s="758"/>
      <c r="C41" s="149"/>
      <c r="D41" s="189" t="str">
        <f>'2.6 Сварка'!G94</f>
        <v>Марганец и его соед.</v>
      </c>
      <c r="E41" s="190" t="str">
        <f>'2.6 Сварка'!H94</f>
        <v>0143</v>
      </c>
      <c r="F41" s="191"/>
      <c r="G41" s="192"/>
      <c r="H41" s="201"/>
      <c r="I41" s="200"/>
      <c r="J41" s="228">
        <f>'2.6 Сварка'!J94</f>
        <v>2.0000000000000001E-4</v>
      </c>
      <c r="K41" s="192">
        <f>'2.6 Сварка'!K94</f>
        <v>2.0000000000000002E-5</v>
      </c>
      <c r="L41" s="197"/>
      <c r="M41" s="198"/>
      <c r="N41" s="197"/>
      <c r="O41" s="162"/>
      <c r="P41" s="197"/>
      <c r="Q41" s="162"/>
      <c r="R41" s="197"/>
      <c r="S41" s="198"/>
      <c r="T41" s="197"/>
      <c r="U41" s="198"/>
      <c r="V41" s="197"/>
      <c r="W41" s="198"/>
      <c r="X41" s="165"/>
      <c r="Y41" s="162"/>
      <c r="Z41" s="388"/>
      <c r="AA41" s="389"/>
      <c r="AB41" s="391"/>
      <c r="AC41" s="390"/>
      <c r="AD41" s="388"/>
      <c r="AE41" s="389"/>
      <c r="AF41" s="391"/>
      <c r="AG41" s="390"/>
      <c r="AH41" s="388"/>
      <c r="AI41" s="388"/>
    </row>
    <row r="42" spans="2:35" ht="20.100000000000001" customHeight="1" x14ac:dyDescent="0.25">
      <c r="B42" s="758"/>
      <c r="C42" s="149"/>
      <c r="D42" s="189" t="str">
        <f>'2.6 Сварка'!G95</f>
        <v>Фториды</v>
      </c>
      <c r="E42" s="190" t="str">
        <f>'2.6 Сварка'!H95</f>
        <v>0344</v>
      </c>
      <c r="F42" s="191"/>
      <c r="G42" s="192"/>
      <c r="H42" s="201"/>
      <c r="I42" s="200"/>
      <c r="J42" s="228">
        <f>'2.6 Сварка'!J95</f>
        <v>6.9999999999999999E-4</v>
      </c>
      <c r="K42" s="192">
        <f>'2.6 Сварка'!K95</f>
        <v>1E-4</v>
      </c>
      <c r="L42" s="197"/>
      <c r="M42" s="198"/>
      <c r="N42" s="197"/>
      <c r="O42" s="162"/>
      <c r="P42" s="197"/>
      <c r="Q42" s="162"/>
      <c r="R42" s="197"/>
      <c r="S42" s="198"/>
      <c r="T42" s="197"/>
      <c r="U42" s="198"/>
      <c r="V42" s="197"/>
      <c r="W42" s="198"/>
      <c r="X42" s="165"/>
      <c r="Y42" s="162"/>
      <c r="Z42" s="388"/>
      <c r="AA42" s="389"/>
      <c r="AB42" s="391"/>
      <c r="AC42" s="390"/>
      <c r="AD42" s="388"/>
      <c r="AE42" s="389"/>
      <c r="AF42" s="391"/>
      <c r="AG42" s="390"/>
      <c r="AH42" s="388"/>
      <c r="AI42" s="388"/>
    </row>
    <row r="43" spans="2:35" ht="20.100000000000001" customHeight="1" x14ac:dyDescent="0.25">
      <c r="B43" s="758"/>
      <c r="C43" s="149"/>
      <c r="D43" s="189" t="str">
        <f>'2.6 Сварка'!G96</f>
        <v>Железа оксид</v>
      </c>
      <c r="E43" s="190" t="str">
        <f>'2.6 Сварка'!H96</f>
        <v>0123</v>
      </c>
      <c r="F43" s="191"/>
      <c r="G43" s="192"/>
      <c r="H43" s="201"/>
      <c r="I43" s="200"/>
      <c r="J43" s="228">
        <f>'2.6 Сварка'!J96</f>
        <v>2.3999999999999998E-3</v>
      </c>
      <c r="K43" s="192">
        <f>'2.6 Сварка'!K96</f>
        <v>2.0000000000000001E-4</v>
      </c>
      <c r="L43" s="197"/>
      <c r="M43" s="198"/>
      <c r="N43" s="197"/>
      <c r="O43" s="162"/>
      <c r="P43" s="197"/>
      <c r="Q43" s="162"/>
      <c r="R43" s="197"/>
      <c r="S43" s="198"/>
      <c r="T43" s="197"/>
      <c r="U43" s="198"/>
      <c r="V43" s="197"/>
      <c r="W43" s="198"/>
      <c r="X43" s="165"/>
      <c r="Y43" s="162"/>
      <c r="Z43" s="388"/>
      <c r="AA43" s="389"/>
      <c r="AB43" s="391"/>
      <c r="AC43" s="390"/>
      <c r="AD43" s="388"/>
      <c r="AE43" s="389"/>
      <c r="AF43" s="391"/>
      <c r="AG43" s="390"/>
      <c r="AH43" s="388"/>
      <c r="AI43" s="388"/>
    </row>
    <row r="44" spans="2:35" ht="20.100000000000001" customHeight="1" x14ac:dyDescent="0.25">
      <c r="B44" s="758"/>
      <c r="C44" s="149"/>
      <c r="D44" s="189" t="str">
        <f>'2.6 Сварка'!G97</f>
        <v>Пыль неорг.с сод-м SiO2 70-20 %</v>
      </c>
      <c r="E44" s="190">
        <f>'2.6 Сварка'!H97</f>
        <v>2908</v>
      </c>
      <c r="F44" s="191"/>
      <c r="G44" s="192"/>
      <c r="H44" s="201"/>
      <c r="I44" s="200"/>
      <c r="J44" s="228">
        <f>'2.6 Сварка'!J97</f>
        <v>2.9999999999999997E-4</v>
      </c>
      <c r="K44" s="192">
        <f>'2.6 Сварка'!K97</f>
        <v>2.0000000000000002E-5</v>
      </c>
      <c r="L44" s="197"/>
      <c r="M44" s="198"/>
      <c r="N44" s="197"/>
      <c r="O44" s="162"/>
      <c r="P44" s="197"/>
      <c r="Q44" s="162"/>
      <c r="R44" s="197"/>
      <c r="S44" s="198"/>
      <c r="T44" s="197"/>
      <c r="U44" s="198"/>
      <c r="V44" s="197"/>
      <c r="W44" s="198"/>
      <c r="X44" s="165"/>
      <c r="Y44" s="162"/>
      <c r="Z44" s="388"/>
      <c r="AA44" s="389"/>
      <c r="AB44" s="391"/>
      <c r="AC44" s="390"/>
      <c r="AD44" s="388"/>
      <c r="AE44" s="389"/>
      <c r="AF44" s="391"/>
      <c r="AG44" s="390"/>
      <c r="AH44" s="388"/>
      <c r="AI44" s="388"/>
    </row>
    <row r="45" spans="2:35" ht="20.100000000000001" customHeight="1" x14ac:dyDescent="0.25">
      <c r="B45" s="757"/>
      <c r="C45" s="150"/>
      <c r="D45" s="193" t="str">
        <f>'2.6 Сварка'!G98</f>
        <v>Оксид углерода</v>
      </c>
      <c r="E45" s="194" t="str">
        <f>'2.6 Сварка'!H98</f>
        <v>0337</v>
      </c>
      <c r="F45" s="195"/>
      <c r="G45" s="196"/>
      <c r="H45" s="210"/>
      <c r="I45" s="209"/>
      <c r="J45" s="240">
        <f>'2.6 Сварка'!J98</f>
        <v>3.0000000000000001E-3</v>
      </c>
      <c r="K45" s="196">
        <f>'2.6 Сварка'!K98</f>
        <v>2.0000000000000001E-4</v>
      </c>
      <c r="L45" s="442"/>
      <c r="M45" s="443"/>
      <c r="N45" s="442"/>
      <c r="O45" s="586"/>
      <c r="P45" s="442"/>
      <c r="Q45" s="586"/>
      <c r="R45" s="442"/>
      <c r="S45" s="443"/>
      <c r="T45" s="442"/>
      <c r="U45" s="443"/>
      <c r="V45" s="442"/>
      <c r="W45" s="443"/>
      <c r="X45" s="607"/>
      <c r="Y45" s="586"/>
      <c r="Z45" s="397"/>
      <c r="AA45" s="398"/>
      <c r="AB45" s="400"/>
      <c r="AC45" s="399"/>
      <c r="AD45" s="397"/>
      <c r="AE45" s="398"/>
      <c r="AF45" s="400"/>
      <c r="AG45" s="399"/>
      <c r="AH45" s="397"/>
      <c r="AI45" s="397"/>
    </row>
    <row r="46" spans="2:35" ht="20.100000000000001" customHeight="1" x14ac:dyDescent="0.25">
      <c r="B46" s="756" t="s">
        <v>475</v>
      </c>
      <c r="C46" s="147">
        <v>8010</v>
      </c>
      <c r="D46" s="151" t="str">
        <f>'2.3 земляные работы'!N73</f>
        <v>Пыль неорг. с содержанием SiO2 70-20 %</v>
      </c>
      <c r="E46" s="157" t="str">
        <f>'2.3 земляные работы'!O73</f>
        <v>2908</v>
      </c>
      <c r="F46" s="158"/>
      <c r="G46" s="159"/>
      <c r="H46" s="176">
        <f>'2.3 земляные работы'!Q73</f>
        <v>7.3000000000000001E-3</v>
      </c>
      <c r="I46" s="175">
        <f>'2.3 земляные работы'!R73</f>
        <v>5.7999999999999996E-3</v>
      </c>
      <c r="J46" s="158"/>
      <c r="K46" s="159"/>
      <c r="L46" s="160"/>
      <c r="M46" s="161"/>
      <c r="N46" s="160"/>
      <c r="O46" s="181"/>
      <c r="P46" s="160"/>
      <c r="Q46" s="181"/>
      <c r="R46" s="160"/>
      <c r="S46" s="161"/>
      <c r="T46" s="160"/>
      <c r="U46" s="161"/>
      <c r="V46" s="160"/>
      <c r="W46" s="161"/>
      <c r="X46" s="153"/>
      <c r="Y46" s="181"/>
      <c r="Z46" s="401"/>
      <c r="AA46" s="402"/>
      <c r="AB46" s="404"/>
      <c r="AC46" s="403"/>
      <c r="AD46" s="401"/>
      <c r="AE46" s="402"/>
      <c r="AF46" s="404"/>
      <c r="AG46" s="403"/>
      <c r="AH46" s="401"/>
      <c r="AI46" s="401"/>
    </row>
    <row r="47" spans="2:35" ht="20.100000000000001" customHeight="1" x14ac:dyDescent="0.25">
      <c r="B47" s="758"/>
      <c r="C47" s="152">
        <v>8011</v>
      </c>
      <c r="D47" s="185" t="str">
        <f>'2.6 Сварка'!G43</f>
        <v>Фтористые газ.соед</v>
      </c>
      <c r="E47" s="186" t="str">
        <f>'2.6 Сварка'!H43</f>
        <v>0342</v>
      </c>
      <c r="F47" s="187"/>
      <c r="G47" s="188"/>
      <c r="H47" s="220">
        <f>'2.6 Сварка'!J43</f>
        <v>2.0000000000000001E-4</v>
      </c>
      <c r="I47" s="221">
        <f>'2.6 Сварка'!K43</f>
        <v>2.0000000000000001E-4</v>
      </c>
      <c r="J47" s="187"/>
      <c r="K47" s="188"/>
      <c r="L47" s="440"/>
      <c r="M47" s="441"/>
      <c r="N47" s="440"/>
      <c r="O47" s="163"/>
      <c r="P47" s="440"/>
      <c r="Q47" s="163"/>
      <c r="R47" s="440"/>
      <c r="S47" s="441"/>
      <c r="T47" s="440"/>
      <c r="U47" s="441"/>
      <c r="V47" s="440"/>
      <c r="W47" s="441"/>
      <c r="X47" s="164"/>
      <c r="Y47" s="163"/>
      <c r="Z47" s="384"/>
      <c r="AA47" s="385"/>
      <c r="AB47" s="387"/>
      <c r="AC47" s="386"/>
      <c r="AD47" s="384"/>
      <c r="AE47" s="385"/>
      <c r="AF47" s="387"/>
      <c r="AG47" s="386"/>
      <c r="AH47" s="384"/>
      <c r="AI47" s="384"/>
    </row>
    <row r="48" spans="2:35" ht="20.100000000000001" customHeight="1" x14ac:dyDescent="0.25">
      <c r="B48" s="758"/>
      <c r="C48" s="149"/>
      <c r="D48" s="189" t="str">
        <f>'2.6 Сварка'!G44</f>
        <v>Диоксид азота</v>
      </c>
      <c r="E48" s="190" t="str">
        <f>'2.6 Сварка'!H44</f>
        <v>0301</v>
      </c>
      <c r="F48" s="191"/>
      <c r="G48" s="192"/>
      <c r="H48" s="201">
        <f>'2.6 Сварка'!J44</f>
        <v>2.9999999999999997E-4</v>
      </c>
      <c r="I48" s="202">
        <f>'2.6 Сварка'!K44</f>
        <v>4.0000000000000002E-4</v>
      </c>
      <c r="J48" s="191"/>
      <c r="K48" s="192"/>
      <c r="L48" s="197"/>
      <c r="M48" s="198"/>
      <c r="N48" s="197"/>
      <c r="O48" s="162"/>
      <c r="P48" s="197"/>
      <c r="Q48" s="162"/>
      <c r="R48" s="197"/>
      <c r="S48" s="198"/>
      <c r="T48" s="197"/>
      <c r="U48" s="198"/>
      <c r="V48" s="197"/>
      <c r="W48" s="198"/>
      <c r="X48" s="165"/>
      <c r="Y48" s="162"/>
      <c r="Z48" s="388"/>
      <c r="AA48" s="389"/>
      <c r="AB48" s="391"/>
      <c r="AC48" s="390"/>
      <c r="AD48" s="388"/>
      <c r="AE48" s="389"/>
      <c r="AF48" s="391"/>
      <c r="AG48" s="390"/>
      <c r="AH48" s="388"/>
      <c r="AI48" s="388"/>
    </row>
    <row r="49" spans="2:35" ht="20.100000000000001" customHeight="1" x14ac:dyDescent="0.25">
      <c r="B49" s="758"/>
      <c r="C49" s="149"/>
      <c r="D49" s="189" t="str">
        <f>'2.6 Сварка'!G45</f>
        <v>Марганец и его соед.</v>
      </c>
      <c r="E49" s="190" t="str">
        <f>'2.6 Сварка'!H45</f>
        <v>0143</v>
      </c>
      <c r="F49" s="191"/>
      <c r="G49" s="192"/>
      <c r="H49" s="201">
        <f>'2.6 Сварка'!J45</f>
        <v>2.0000000000000001E-4</v>
      </c>
      <c r="I49" s="202">
        <f>'2.6 Сварка'!K45</f>
        <v>2.0000000000000001E-4</v>
      </c>
      <c r="J49" s="191"/>
      <c r="K49" s="192"/>
      <c r="L49" s="197"/>
      <c r="M49" s="198"/>
      <c r="N49" s="197"/>
      <c r="O49" s="162"/>
      <c r="P49" s="197"/>
      <c r="Q49" s="162"/>
      <c r="R49" s="197"/>
      <c r="S49" s="198"/>
      <c r="T49" s="197"/>
      <c r="U49" s="198"/>
      <c r="V49" s="197"/>
      <c r="W49" s="198"/>
      <c r="X49" s="165"/>
      <c r="Y49" s="162"/>
      <c r="Z49" s="388"/>
      <c r="AA49" s="389"/>
      <c r="AB49" s="391"/>
      <c r="AC49" s="390"/>
      <c r="AD49" s="388"/>
      <c r="AE49" s="389"/>
      <c r="AF49" s="391"/>
      <c r="AG49" s="390"/>
      <c r="AH49" s="388"/>
      <c r="AI49" s="388"/>
    </row>
    <row r="50" spans="2:35" ht="20.100000000000001" customHeight="1" x14ac:dyDescent="0.25">
      <c r="B50" s="758"/>
      <c r="C50" s="149"/>
      <c r="D50" s="189" t="str">
        <f>'2.6 Сварка'!G46</f>
        <v>Фториды</v>
      </c>
      <c r="E50" s="190" t="str">
        <f>'2.6 Сварка'!H46</f>
        <v>0344</v>
      </c>
      <c r="F50" s="191"/>
      <c r="G50" s="192"/>
      <c r="H50" s="201">
        <f>'2.6 Сварка'!J46</f>
        <v>6.9999999999999999E-4</v>
      </c>
      <c r="I50" s="202">
        <f>'2.6 Сварка'!K46</f>
        <v>8.0000000000000004E-4</v>
      </c>
      <c r="J50" s="191"/>
      <c r="K50" s="192"/>
      <c r="L50" s="197"/>
      <c r="M50" s="198"/>
      <c r="N50" s="197"/>
      <c r="O50" s="162"/>
      <c r="P50" s="197"/>
      <c r="Q50" s="162"/>
      <c r="R50" s="197"/>
      <c r="S50" s="198"/>
      <c r="T50" s="197"/>
      <c r="U50" s="198"/>
      <c r="V50" s="197"/>
      <c r="W50" s="198"/>
      <c r="X50" s="165"/>
      <c r="Y50" s="162"/>
      <c r="Z50" s="388"/>
      <c r="AA50" s="389"/>
      <c r="AB50" s="391"/>
      <c r="AC50" s="390"/>
      <c r="AD50" s="388"/>
      <c r="AE50" s="389"/>
      <c r="AF50" s="391"/>
      <c r="AG50" s="390"/>
      <c r="AH50" s="388"/>
      <c r="AI50" s="388"/>
    </row>
    <row r="51" spans="2:35" ht="20.100000000000001" customHeight="1" x14ac:dyDescent="0.25">
      <c r="B51" s="758"/>
      <c r="C51" s="149"/>
      <c r="D51" s="189" t="str">
        <f>'2.6 Сварка'!G47</f>
        <v>Железа оксид</v>
      </c>
      <c r="E51" s="190" t="str">
        <f>'2.6 Сварка'!H47</f>
        <v>0123</v>
      </c>
      <c r="F51" s="191"/>
      <c r="G51" s="192"/>
      <c r="H51" s="201">
        <f>'2.6 Сварка'!J47</f>
        <v>2.3999999999999998E-3</v>
      </c>
      <c r="I51" s="202">
        <f>'2.6 Сварка'!K47</f>
        <v>2.5999999999999999E-3</v>
      </c>
      <c r="J51" s="191"/>
      <c r="K51" s="192"/>
      <c r="L51" s="197"/>
      <c r="M51" s="198"/>
      <c r="N51" s="197"/>
      <c r="O51" s="162"/>
      <c r="P51" s="197"/>
      <c r="Q51" s="162"/>
      <c r="R51" s="197"/>
      <c r="S51" s="198"/>
      <c r="T51" s="197"/>
      <c r="U51" s="198"/>
      <c r="V51" s="197"/>
      <c r="W51" s="198"/>
      <c r="X51" s="165"/>
      <c r="Y51" s="162"/>
      <c r="Z51" s="388"/>
      <c r="AA51" s="389"/>
      <c r="AB51" s="391"/>
      <c r="AC51" s="390"/>
      <c r="AD51" s="388"/>
      <c r="AE51" s="389"/>
      <c r="AF51" s="391"/>
      <c r="AG51" s="390"/>
      <c r="AH51" s="388"/>
      <c r="AI51" s="388"/>
    </row>
    <row r="52" spans="2:35" ht="20.100000000000001" customHeight="1" x14ac:dyDescent="0.25">
      <c r="B52" s="758"/>
      <c r="C52" s="149"/>
      <c r="D52" s="189" t="str">
        <f>'2.6 Сварка'!G48</f>
        <v>Пыль неорг.с сод-м SiO2 70-20 %</v>
      </c>
      <c r="E52" s="190">
        <f>'2.6 Сварка'!H48</f>
        <v>2908</v>
      </c>
      <c r="F52" s="191"/>
      <c r="G52" s="192"/>
      <c r="H52" s="201">
        <f>'2.6 Сварка'!J48</f>
        <v>2.9999999999999997E-4</v>
      </c>
      <c r="I52" s="202">
        <f>'2.6 Сварка'!K48</f>
        <v>2.9999999999999997E-4</v>
      </c>
      <c r="J52" s="191"/>
      <c r="K52" s="192"/>
      <c r="L52" s="197"/>
      <c r="M52" s="198"/>
      <c r="N52" s="197"/>
      <c r="O52" s="162"/>
      <c r="P52" s="197"/>
      <c r="Q52" s="162"/>
      <c r="R52" s="197"/>
      <c r="S52" s="198"/>
      <c r="T52" s="197"/>
      <c r="U52" s="198"/>
      <c r="V52" s="197"/>
      <c r="W52" s="198"/>
      <c r="X52" s="165"/>
      <c r="Y52" s="162"/>
      <c r="Z52" s="388"/>
      <c r="AA52" s="389"/>
      <c r="AB52" s="391"/>
      <c r="AC52" s="390"/>
      <c r="AD52" s="388"/>
      <c r="AE52" s="389"/>
      <c r="AF52" s="391"/>
      <c r="AG52" s="390"/>
      <c r="AH52" s="388"/>
      <c r="AI52" s="388"/>
    </row>
    <row r="53" spans="2:35" ht="20.100000000000001" customHeight="1" x14ac:dyDescent="0.25">
      <c r="B53" s="758"/>
      <c r="C53" s="149"/>
      <c r="D53" s="189" t="str">
        <f>'2.6 Сварка'!G49</f>
        <v>Оксид углерода</v>
      </c>
      <c r="E53" s="190" t="str">
        <f>'2.6 Сварка'!H49</f>
        <v>0337</v>
      </c>
      <c r="F53" s="191"/>
      <c r="G53" s="192"/>
      <c r="H53" s="239">
        <f>'2.6 Сварка'!J49+'2.7сварка полиэтилена'!H42</f>
        <v>3.0010000000000002E-3</v>
      </c>
      <c r="I53" s="202">
        <f>'2.6 Сварка'!K49+'2.7сварка полиэтилена'!I42</f>
        <v>3.3000500000000001E-3</v>
      </c>
      <c r="J53" s="191"/>
      <c r="K53" s="192"/>
      <c r="L53" s="197"/>
      <c r="M53" s="198"/>
      <c r="N53" s="197"/>
      <c r="O53" s="162"/>
      <c r="P53" s="197"/>
      <c r="Q53" s="162"/>
      <c r="R53" s="197"/>
      <c r="S53" s="198"/>
      <c r="T53" s="197"/>
      <c r="U53" s="198"/>
      <c r="V53" s="197"/>
      <c r="W53" s="198"/>
      <c r="X53" s="165"/>
      <c r="Y53" s="162"/>
      <c r="Z53" s="388"/>
      <c r="AA53" s="389"/>
      <c r="AB53" s="391"/>
      <c r="AC53" s="390"/>
      <c r="AD53" s="388"/>
      <c r="AE53" s="389"/>
      <c r="AF53" s="391"/>
      <c r="AG53" s="390"/>
      <c r="AH53" s="388"/>
      <c r="AI53" s="388"/>
    </row>
    <row r="54" spans="2:35" ht="20.100000000000001" customHeight="1" x14ac:dyDescent="0.25">
      <c r="B54" s="757"/>
      <c r="C54" s="150"/>
      <c r="D54" s="193" t="str">
        <f>'2.7сварка полиэтилена'!F43</f>
        <v>Хлорэтилен /Винилхлорид/</v>
      </c>
      <c r="E54" s="432" t="str">
        <f>'2.7сварка полиэтилена'!G43</f>
        <v>0827</v>
      </c>
      <c r="F54" s="195"/>
      <c r="G54" s="196"/>
      <c r="H54" s="462">
        <f>'2.7сварка полиэтилена'!H43</f>
        <v>3.9999999999999998E-7</v>
      </c>
      <c r="I54" s="211">
        <f>'2.7сварка полиэтилена'!I43</f>
        <v>2E-8</v>
      </c>
      <c r="J54" s="195"/>
      <c r="K54" s="196"/>
      <c r="L54" s="442"/>
      <c r="M54" s="443"/>
      <c r="N54" s="442"/>
      <c r="O54" s="586"/>
      <c r="P54" s="442"/>
      <c r="Q54" s="586"/>
      <c r="R54" s="442"/>
      <c r="S54" s="443"/>
      <c r="T54" s="442"/>
      <c r="U54" s="443"/>
      <c r="V54" s="442"/>
      <c r="W54" s="443"/>
      <c r="X54" s="607"/>
      <c r="Y54" s="586"/>
      <c r="Z54" s="397"/>
      <c r="AA54" s="398"/>
      <c r="AB54" s="400"/>
      <c r="AC54" s="399"/>
      <c r="AD54" s="397"/>
      <c r="AE54" s="398"/>
      <c r="AF54" s="400"/>
      <c r="AG54" s="399"/>
      <c r="AH54" s="397"/>
      <c r="AI54" s="397"/>
    </row>
    <row r="55" spans="2:35" ht="20.100000000000001" customHeight="1" x14ac:dyDescent="0.25">
      <c r="B55" s="756" t="s">
        <v>127</v>
      </c>
      <c r="C55" s="147">
        <v>8012</v>
      </c>
      <c r="D55" s="151" t="str">
        <f>'2.3 земляные работы'!N78</f>
        <v>Пыль неорг. с содержанием SiO2 70-20 %</v>
      </c>
      <c r="E55" s="157" t="str">
        <f>'2.3 земляные работы'!O78</f>
        <v>2908</v>
      </c>
      <c r="F55" s="158"/>
      <c r="G55" s="159"/>
      <c r="H55" s="176">
        <f>'2.3 земляные работы'!Q78</f>
        <v>7.3000000000000001E-3</v>
      </c>
      <c r="I55" s="175">
        <f>'2.3 земляные работы'!R78</f>
        <v>5.1999999999999998E-3</v>
      </c>
      <c r="J55" s="158"/>
      <c r="K55" s="159"/>
      <c r="L55" s="160"/>
      <c r="M55" s="161"/>
      <c r="N55" s="160"/>
      <c r="O55" s="181"/>
      <c r="P55" s="160"/>
      <c r="Q55" s="181"/>
      <c r="R55" s="160"/>
      <c r="S55" s="161"/>
      <c r="T55" s="160"/>
      <c r="U55" s="161"/>
      <c r="V55" s="160"/>
      <c r="W55" s="161"/>
      <c r="X55" s="153"/>
      <c r="Y55" s="181"/>
      <c r="Z55" s="401"/>
      <c r="AA55" s="402"/>
      <c r="AB55" s="404"/>
      <c r="AC55" s="403"/>
      <c r="AD55" s="401"/>
      <c r="AE55" s="402"/>
      <c r="AF55" s="404"/>
      <c r="AG55" s="403"/>
      <c r="AH55" s="401"/>
      <c r="AI55" s="401"/>
    </row>
    <row r="56" spans="2:35" ht="20.100000000000001" customHeight="1" x14ac:dyDescent="0.25">
      <c r="B56" s="758"/>
      <c r="C56" s="152">
        <v>8013</v>
      </c>
      <c r="D56" s="185" t="str">
        <f>'2.6 Сварка'!G51</f>
        <v>Фтористые газ.соед</v>
      </c>
      <c r="E56" s="186" t="str">
        <f>'2.6 Сварка'!H51</f>
        <v>0342</v>
      </c>
      <c r="F56" s="187"/>
      <c r="G56" s="188"/>
      <c r="H56" s="227">
        <f>'2.6 Сварка'!J51</f>
        <v>2.0000000000000001E-4</v>
      </c>
      <c r="I56" s="221">
        <f>'2.6 Сварка'!K51</f>
        <v>2.0000000000000001E-4</v>
      </c>
      <c r="J56" s="187"/>
      <c r="K56" s="188"/>
      <c r="L56" s="440"/>
      <c r="M56" s="441"/>
      <c r="N56" s="440"/>
      <c r="O56" s="163"/>
      <c r="P56" s="440"/>
      <c r="Q56" s="163"/>
      <c r="R56" s="440"/>
      <c r="S56" s="441"/>
      <c r="T56" s="440"/>
      <c r="U56" s="441"/>
      <c r="V56" s="440"/>
      <c r="W56" s="441"/>
      <c r="X56" s="164"/>
      <c r="Y56" s="163"/>
      <c r="Z56" s="384"/>
      <c r="AA56" s="385"/>
      <c r="AB56" s="387"/>
      <c r="AC56" s="386"/>
      <c r="AD56" s="384"/>
      <c r="AE56" s="385"/>
      <c r="AF56" s="387"/>
      <c r="AG56" s="386"/>
      <c r="AH56" s="384"/>
      <c r="AI56" s="384"/>
    </row>
    <row r="57" spans="2:35" ht="20.100000000000001" customHeight="1" x14ac:dyDescent="0.25">
      <c r="B57" s="758"/>
      <c r="C57" s="149"/>
      <c r="D57" s="189" t="str">
        <f>'2.6 Сварка'!G52</f>
        <v>Диоксид азота</v>
      </c>
      <c r="E57" s="190" t="str">
        <f>'2.6 Сварка'!H52</f>
        <v>0301</v>
      </c>
      <c r="F57" s="191"/>
      <c r="G57" s="192"/>
      <c r="H57" s="239">
        <f>'2.6 Сварка'!J52</f>
        <v>2.9999999999999997E-4</v>
      </c>
      <c r="I57" s="202">
        <f>'2.6 Сварка'!K52</f>
        <v>4.0000000000000002E-4</v>
      </c>
      <c r="J57" s="191"/>
      <c r="K57" s="192"/>
      <c r="L57" s="197"/>
      <c r="M57" s="198"/>
      <c r="N57" s="197"/>
      <c r="O57" s="162"/>
      <c r="P57" s="197"/>
      <c r="Q57" s="162"/>
      <c r="R57" s="197"/>
      <c r="S57" s="198"/>
      <c r="T57" s="197"/>
      <c r="U57" s="198"/>
      <c r="V57" s="197"/>
      <c r="W57" s="198"/>
      <c r="X57" s="165"/>
      <c r="Y57" s="162"/>
      <c r="Z57" s="388"/>
      <c r="AA57" s="389"/>
      <c r="AB57" s="391"/>
      <c r="AC57" s="390"/>
      <c r="AD57" s="388"/>
      <c r="AE57" s="389"/>
      <c r="AF57" s="391"/>
      <c r="AG57" s="390"/>
      <c r="AH57" s="388"/>
      <c r="AI57" s="388"/>
    </row>
    <row r="58" spans="2:35" ht="20.100000000000001" customHeight="1" x14ac:dyDescent="0.25">
      <c r="B58" s="758"/>
      <c r="C58" s="149"/>
      <c r="D58" s="189" t="str">
        <f>'2.6 Сварка'!G53</f>
        <v>Марганец и его соед.</v>
      </c>
      <c r="E58" s="190" t="str">
        <f>'2.6 Сварка'!H53</f>
        <v>0143</v>
      </c>
      <c r="F58" s="191"/>
      <c r="G58" s="192"/>
      <c r="H58" s="239">
        <f>'2.6 Сварка'!J53</f>
        <v>2.0000000000000001E-4</v>
      </c>
      <c r="I58" s="202">
        <f>'2.6 Сварка'!K53</f>
        <v>2.0000000000000001E-4</v>
      </c>
      <c r="J58" s="191"/>
      <c r="K58" s="192"/>
      <c r="L58" s="197"/>
      <c r="M58" s="198"/>
      <c r="N58" s="197"/>
      <c r="O58" s="162"/>
      <c r="P58" s="197"/>
      <c r="Q58" s="162"/>
      <c r="R58" s="197"/>
      <c r="S58" s="198"/>
      <c r="T58" s="197"/>
      <c r="U58" s="198"/>
      <c r="V58" s="197"/>
      <c r="W58" s="198"/>
      <c r="X58" s="165"/>
      <c r="Y58" s="162"/>
      <c r="Z58" s="388"/>
      <c r="AA58" s="389"/>
      <c r="AB58" s="391"/>
      <c r="AC58" s="390"/>
      <c r="AD58" s="388"/>
      <c r="AE58" s="389"/>
      <c r="AF58" s="391"/>
      <c r="AG58" s="390"/>
      <c r="AH58" s="388"/>
      <c r="AI58" s="388"/>
    </row>
    <row r="59" spans="2:35" ht="20.100000000000001" customHeight="1" x14ac:dyDescent="0.25">
      <c r="B59" s="758"/>
      <c r="C59" s="149"/>
      <c r="D59" s="189" t="str">
        <f>'2.6 Сварка'!G54</f>
        <v>Фториды</v>
      </c>
      <c r="E59" s="190" t="str">
        <f>'2.6 Сварка'!H54</f>
        <v>0344</v>
      </c>
      <c r="F59" s="191"/>
      <c r="G59" s="192"/>
      <c r="H59" s="239">
        <f>'2.6 Сварка'!J54</f>
        <v>6.9999999999999999E-4</v>
      </c>
      <c r="I59" s="202">
        <f>'2.6 Сварка'!K54</f>
        <v>8.0000000000000004E-4</v>
      </c>
      <c r="J59" s="191"/>
      <c r="K59" s="192"/>
      <c r="L59" s="197"/>
      <c r="M59" s="198"/>
      <c r="N59" s="197"/>
      <c r="O59" s="162"/>
      <c r="P59" s="197"/>
      <c r="Q59" s="162"/>
      <c r="R59" s="197"/>
      <c r="S59" s="198"/>
      <c r="T59" s="197"/>
      <c r="U59" s="198"/>
      <c r="V59" s="197"/>
      <c r="W59" s="198"/>
      <c r="X59" s="165"/>
      <c r="Y59" s="162"/>
      <c r="Z59" s="388"/>
      <c r="AA59" s="389"/>
      <c r="AB59" s="391"/>
      <c r="AC59" s="390"/>
      <c r="AD59" s="388"/>
      <c r="AE59" s="389"/>
      <c r="AF59" s="391"/>
      <c r="AG59" s="390"/>
      <c r="AH59" s="388"/>
      <c r="AI59" s="388"/>
    </row>
    <row r="60" spans="2:35" ht="20.100000000000001" customHeight="1" x14ac:dyDescent="0.25">
      <c r="B60" s="758"/>
      <c r="C60" s="149"/>
      <c r="D60" s="189" t="str">
        <f>'2.6 Сварка'!G55</f>
        <v>Железа оксид</v>
      </c>
      <c r="E60" s="190" t="str">
        <f>'2.6 Сварка'!H55</f>
        <v>0123</v>
      </c>
      <c r="F60" s="191"/>
      <c r="G60" s="192"/>
      <c r="H60" s="239">
        <f>'2.6 Сварка'!J55</f>
        <v>2.3999999999999998E-3</v>
      </c>
      <c r="I60" s="202">
        <f>'2.6 Сварка'!K55</f>
        <v>2.5999999999999999E-3</v>
      </c>
      <c r="J60" s="191"/>
      <c r="K60" s="192"/>
      <c r="L60" s="197"/>
      <c r="M60" s="198"/>
      <c r="N60" s="197"/>
      <c r="O60" s="162"/>
      <c r="P60" s="197"/>
      <c r="Q60" s="162"/>
      <c r="R60" s="197"/>
      <c r="S60" s="198"/>
      <c r="T60" s="197"/>
      <c r="U60" s="198"/>
      <c r="V60" s="197"/>
      <c r="W60" s="198"/>
      <c r="X60" s="165"/>
      <c r="Y60" s="162"/>
      <c r="Z60" s="388"/>
      <c r="AA60" s="389"/>
      <c r="AB60" s="391"/>
      <c r="AC60" s="390"/>
      <c r="AD60" s="388"/>
      <c r="AE60" s="389"/>
      <c r="AF60" s="391"/>
      <c r="AG60" s="390"/>
      <c r="AH60" s="388"/>
      <c r="AI60" s="388"/>
    </row>
    <row r="61" spans="2:35" ht="20.100000000000001" customHeight="1" x14ac:dyDescent="0.25">
      <c r="B61" s="758"/>
      <c r="C61" s="149"/>
      <c r="D61" s="189" t="str">
        <f>'2.6 Сварка'!G56</f>
        <v>Пыль неорг.с сод-м SiO2 70-20 %</v>
      </c>
      <c r="E61" s="190">
        <f>'2.6 Сварка'!H56</f>
        <v>2908</v>
      </c>
      <c r="F61" s="191"/>
      <c r="G61" s="192"/>
      <c r="H61" s="239">
        <f>'2.6 Сварка'!J56</f>
        <v>2.9999999999999997E-4</v>
      </c>
      <c r="I61" s="202">
        <f>'2.6 Сварка'!K56</f>
        <v>2.9999999999999997E-4</v>
      </c>
      <c r="J61" s="191"/>
      <c r="K61" s="192"/>
      <c r="L61" s="197"/>
      <c r="M61" s="198"/>
      <c r="N61" s="197"/>
      <c r="O61" s="162"/>
      <c r="P61" s="197"/>
      <c r="Q61" s="162"/>
      <c r="R61" s="197"/>
      <c r="S61" s="198"/>
      <c r="T61" s="197"/>
      <c r="U61" s="198"/>
      <c r="V61" s="197"/>
      <c r="W61" s="198"/>
      <c r="X61" s="165"/>
      <c r="Y61" s="162"/>
      <c r="Z61" s="388"/>
      <c r="AA61" s="389"/>
      <c r="AB61" s="391"/>
      <c r="AC61" s="390"/>
      <c r="AD61" s="388"/>
      <c r="AE61" s="389"/>
      <c r="AF61" s="391"/>
      <c r="AG61" s="390"/>
      <c r="AH61" s="388"/>
      <c r="AI61" s="388"/>
    </row>
    <row r="62" spans="2:35" ht="20.100000000000001" customHeight="1" x14ac:dyDescent="0.25">
      <c r="B62" s="758"/>
      <c r="C62" s="149"/>
      <c r="D62" s="189" t="str">
        <f>'2.6 Сварка'!G57</f>
        <v>Оксид углерода</v>
      </c>
      <c r="E62" s="190" t="str">
        <f>'2.6 Сварка'!H57</f>
        <v>0337</v>
      </c>
      <c r="F62" s="191"/>
      <c r="G62" s="192"/>
      <c r="H62" s="239">
        <f>'2.6 Сварка'!J57+'2.7сварка полиэтилена'!H45</f>
        <v>3.0010000000000002E-3</v>
      </c>
      <c r="I62" s="202">
        <f>'2.6 Сварка'!K57+'2.7сварка полиэтилена'!I45</f>
        <v>3.3000500000000001E-3</v>
      </c>
      <c r="J62" s="191"/>
      <c r="K62" s="192"/>
      <c r="L62" s="197"/>
      <c r="M62" s="198"/>
      <c r="N62" s="197"/>
      <c r="O62" s="162"/>
      <c r="P62" s="197"/>
      <c r="Q62" s="162"/>
      <c r="R62" s="197"/>
      <c r="S62" s="198"/>
      <c r="T62" s="197"/>
      <c r="U62" s="198"/>
      <c r="V62" s="197"/>
      <c r="W62" s="198"/>
      <c r="X62" s="165"/>
      <c r="Y62" s="162"/>
      <c r="Z62" s="388"/>
      <c r="AA62" s="389"/>
      <c r="AB62" s="391"/>
      <c r="AC62" s="390"/>
      <c r="AD62" s="388"/>
      <c r="AE62" s="389"/>
      <c r="AF62" s="391"/>
      <c r="AG62" s="390"/>
      <c r="AH62" s="388"/>
      <c r="AI62" s="388"/>
    </row>
    <row r="63" spans="2:35" ht="20.100000000000001" customHeight="1" x14ac:dyDescent="0.25">
      <c r="B63" s="757"/>
      <c r="C63" s="150"/>
      <c r="D63" s="193" t="str">
        <f>'2.7сварка полиэтилена'!F46</f>
        <v>Хлорэтилен /Винилхлорид/</v>
      </c>
      <c r="E63" s="194" t="str">
        <f>'2.7сварка полиэтилена'!G46</f>
        <v>0827</v>
      </c>
      <c r="F63" s="195"/>
      <c r="G63" s="196"/>
      <c r="H63" s="462">
        <f>'2.7сварка полиэтилена'!H46</f>
        <v>3.9999999999999998E-7</v>
      </c>
      <c r="I63" s="211">
        <f>'2.7сварка полиэтилена'!I46</f>
        <v>2E-8</v>
      </c>
      <c r="J63" s="195"/>
      <c r="K63" s="196"/>
      <c r="L63" s="442"/>
      <c r="M63" s="443"/>
      <c r="N63" s="442"/>
      <c r="O63" s="586"/>
      <c r="P63" s="442"/>
      <c r="Q63" s="586"/>
      <c r="R63" s="442"/>
      <c r="S63" s="443"/>
      <c r="T63" s="442"/>
      <c r="U63" s="443"/>
      <c r="V63" s="442"/>
      <c r="W63" s="443"/>
      <c r="X63" s="607"/>
      <c r="Y63" s="586"/>
      <c r="Z63" s="397"/>
      <c r="AA63" s="398"/>
      <c r="AB63" s="400"/>
      <c r="AC63" s="399"/>
      <c r="AD63" s="397"/>
      <c r="AE63" s="398"/>
      <c r="AF63" s="400"/>
      <c r="AG63" s="399"/>
      <c r="AH63" s="397"/>
      <c r="AI63" s="397"/>
    </row>
    <row r="64" spans="2:35" ht="20.100000000000001" customHeight="1" x14ac:dyDescent="0.25">
      <c r="B64" s="756" t="s">
        <v>128</v>
      </c>
      <c r="C64" s="147">
        <v>8014</v>
      </c>
      <c r="D64" s="151" t="str">
        <f>'2.3 земляные работы'!N83</f>
        <v>Пыль неорг. с содержанием SiO2 70-20 %</v>
      </c>
      <c r="E64" s="157" t="str">
        <f>'2.3 земляные работы'!O83</f>
        <v>2908</v>
      </c>
      <c r="F64" s="158"/>
      <c r="G64" s="159"/>
      <c r="H64" s="176">
        <f>'2.3 земляные работы'!Q83</f>
        <v>7.3000000000000001E-3</v>
      </c>
      <c r="I64" s="175">
        <f>'2.3 земляные работы'!R83</f>
        <v>3.3E-3</v>
      </c>
      <c r="J64" s="158"/>
      <c r="K64" s="159"/>
      <c r="L64" s="160"/>
      <c r="M64" s="161"/>
      <c r="N64" s="160"/>
      <c r="O64" s="181"/>
      <c r="P64" s="160"/>
      <c r="Q64" s="181"/>
      <c r="R64" s="160"/>
      <c r="S64" s="161"/>
      <c r="T64" s="160"/>
      <c r="U64" s="161"/>
      <c r="V64" s="160"/>
      <c r="W64" s="161"/>
      <c r="X64" s="153"/>
      <c r="Y64" s="181"/>
      <c r="Z64" s="401"/>
      <c r="AA64" s="402"/>
      <c r="AB64" s="404"/>
      <c r="AC64" s="403"/>
      <c r="AD64" s="401"/>
      <c r="AE64" s="402"/>
      <c r="AF64" s="404"/>
      <c r="AG64" s="403"/>
      <c r="AH64" s="401"/>
      <c r="AI64" s="401"/>
    </row>
    <row r="65" spans="2:35" ht="20.100000000000001" customHeight="1" x14ac:dyDescent="0.25">
      <c r="B65" s="758"/>
      <c r="C65" s="152">
        <v>8015</v>
      </c>
      <c r="D65" s="185" t="str">
        <f>'2.6 Сварка'!G59</f>
        <v>Фтористые газ.соед</v>
      </c>
      <c r="E65" s="217" t="str">
        <f>'2.6 Сварка'!H59</f>
        <v>0342</v>
      </c>
      <c r="F65" s="187"/>
      <c r="G65" s="188"/>
      <c r="H65" s="227">
        <f>'2.6 Сварка'!J59</f>
        <v>2.0000000000000001E-4</v>
      </c>
      <c r="I65" s="221">
        <f>'2.6 Сварка'!K59</f>
        <v>1E-4</v>
      </c>
      <c r="J65" s="187"/>
      <c r="K65" s="188"/>
      <c r="L65" s="440"/>
      <c r="M65" s="441"/>
      <c r="N65" s="440"/>
      <c r="O65" s="163"/>
      <c r="P65" s="440"/>
      <c r="Q65" s="163"/>
      <c r="R65" s="440"/>
      <c r="S65" s="441"/>
      <c r="T65" s="440"/>
      <c r="U65" s="441"/>
      <c r="V65" s="440"/>
      <c r="W65" s="441"/>
      <c r="X65" s="164"/>
      <c r="Y65" s="163"/>
      <c r="Z65" s="384"/>
      <c r="AA65" s="385"/>
      <c r="AB65" s="387"/>
      <c r="AC65" s="386"/>
      <c r="AD65" s="384"/>
      <c r="AE65" s="385"/>
      <c r="AF65" s="387"/>
      <c r="AG65" s="386"/>
      <c r="AH65" s="384"/>
      <c r="AI65" s="384"/>
    </row>
    <row r="66" spans="2:35" ht="20.100000000000001" customHeight="1" x14ac:dyDescent="0.25">
      <c r="B66" s="758"/>
      <c r="C66" s="149"/>
      <c r="D66" s="189" t="str">
        <f>'2.6 Сварка'!G60</f>
        <v>Диоксид азота</v>
      </c>
      <c r="E66" s="218" t="str">
        <f>'2.6 Сварка'!H60</f>
        <v>0301</v>
      </c>
      <c r="F66" s="191"/>
      <c r="G66" s="192"/>
      <c r="H66" s="201">
        <f>'2.6 Сварка'!J60</f>
        <v>2.9999999999999997E-4</v>
      </c>
      <c r="I66" s="202">
        <f>'2.6 Сварка'!K60</f>
        <v>2.0000000000000001E-4</v>
      </c>
      <c r="J66" s="191"/>
      <c r="K66" s="192"/>
      <c r="L66" s="197"/>
      <c r="M66" s="198"/>
      <c r="N66" s="197"/>
      <c r="O66" s="162"/>
      <c r="P66" s="197"/>
      <c r="Q66" s="162"/>
      <c r="R66" s="197"/>
      <c r="S66" s="198"/>
      <c r="T66" s="197"/>
      <c r="U66" s="198"/>
      <c r="V66" s="197"/>
      <c r="W66" s="198"/>
      <c r="X66" s="165"/>
      <c r="Y66" s="162"/>
      <c r="Z66" s="388"/>
      <c r="AA66" s="389"/>
      <c r="AB66" s="391"/>
      <c r="AC66" s="390"/>
      <c r="AD66" s="388"/>
      <c r="AE66" s="389"/>
      <c r="AF66" s="391"/>
      <c r="AG66" s="390"/>
      <c r="AH66" s="388"/>
      <c r="AI66" s="388"/>
    </row>
    <row r="67" spans="2:35" ht="20.100000000000001" customHeight="1" x14ac:dyDescent="0.25">
      <c r="B67" s="758"/>
      <c r="C67" s="149"/>
      <c r="D67" s="189" t="str">
        <f>'2.6 Сварка'!G61</f>
        <v>Марганец и его соед.</v>
      </c>
      <c r="E67" s="218" t="str">
        <f>'2.6 Сварка'!H61</f>
        <v>0143</v>
      </c>
      <c r="F67" s="191"/>
      <c r="G67" s="192"/>
      <c r="H67" s="201">
        <f>'2.6 Сварка'!J61</f>
        <v>2.0000000000000001E-4</v>
      </c>
      <c r="I67" s="202">
        <f>'2.6 Сварка'!K61</f>
        <v>1E-4</v>
      </c>
      <c r="J67" s="191"/>
      <c r="K67" s="192"/>
      <c r="L67" s="197"/>
      <c r="M67" s="198"/>
      <c r="N67" s="197"/>
      <c r="O67" s="162"/>
      <c r="P67" s="197"/>
      <c r="Q67" s="162"/>
      <c r="R67" s="197"/>
      <c r="S67" s="198"/>
      <c r="T67" s="197"/>
      <c r="U67" s="198"/>
      <c r="V67" s="197"/>
      <c r="W67" s="198"/>
      <c r="X67" s="165"/>
      <c r="Y67" s="162"/>
      <c r="Z67" s="388"/>
      <c r="AA67" s="389"/>
      <c r="AB67" s="391"/>
      <c r="AC67" s="390"/>
      <c r="AD67" s="388"/>
      <c r="AE67" s="389"/>
      <c r="AF67" s="391"/>
      <c r="AG67" s="390"/>
      <c r="AH67" s="388"/>
      <c r="AI67" s="388"/>
    </row>
    <row r="68" spans="2:35" ht="20.100000000000001" customHeight="1" x14ac:dyDescent="0.25">
      <c r="B68" s="758"/>
      <c r="C68" s="149"/>
      <c r="D68" s="189" t="str">
        <f>'2.6 Сварка'!G62</f>
        <v>Фториды</v>
      </c>
      <c r="E68" s="218" t="str">
        <f>'2.6 Сварка'!H62</f>
        <v>0344</v>
      </c>
      <c r="F68" s="191"/>
      <c r="G68" s="192"/>
      <c r="H68" s="201">
        <f>'2.6 Сварка'!J62</f>
        <v>6.9999999999999999E-4</v>
      </c>
      <c r="I68" s="202">
        <f>'2.6 Сварка'!K62</f>
        <v>4.0000000000000002E-4</v>
      </c>
      <c r="J68" s="191"/>
      <c r="K68" s="192"/>
      <c r="L68" s="197"/>
      <c r="M68" s="198"/>
      <c r="N68" s="197"/>
      <c r="O68" s="162"/>
      <c r="P68" s="197"/>
      <c r="Q68" s="162"/>
      <c r="R68" s="197"/>
      <c r="S68" s="198"/>
      <c r="T68" s="197"/>
      <c r="U68" s="198"/>
      <c r="V68" s="197"/>
      <c r="W68" s="198"/>
      <c r="X68" s="165"/>
      <c r="Y68" s="162"/>
      <c r="Z68" s="388"/>
      <c r="AA68" s="389"/>
      <c r="AB68" s="391"/>
      <c r="AC68" s="390"/>
      <c r="AD68" s="388"/>
      <c r="AE68" s="389"/>
      <c r="AF68" s="391"/>
      <c r="AG68" s="390"/>
      <c r="AH68" s="388"/>
      <c r="AI68" s="388"/>
    </row>
    <row r="69" spans="2:35" ht="20.100000000000001" customHeight="1" x14ac:dyDescent="0.25">
      <c r="B69" s="758"/>
      <c r="C69" s="149"/>
      <c r="D69" s="189" t="str">
        <f>'2.6 Сварка'!G63</f>
        <v>Железа оксид</v>
      </c>
      <c r="E69" s="218" t="str">
        <f>'2.6 Сварка'!H63</f>
        <v>0123</v>
      </c>
      <c r="F69" s="191"/>
      <c r="G69" s="192"/>
      <c r="H69" s="201">
        <f>'2.6 Сварка'!J63</f>
        <v>2.3999999999999998E-3</v>
      </c>
      <c r="I69" s="202">
        <f>'2.6 Сварка'!K63</f>
        <v>1.1999999999999999E-3</v>
      </c>
      <c r="J69" s="191"/>
      <c r="K69" s="192"/>
      <c r="L69" s="197"/>
      <c r="M69" s="198"/>
      <c r="N69" s="197"/>
      <c r="O69" s="162"/>
      <c r="P69" s="197"/>
      <c r="Q69" s="162"/>
      <c r="R69" s="197"/>
      <c r="S69" s="198"/>
      <c r="T69" s="197"/>
      <c r="U69" s="198"/>
      <c r="V69" s="197"/>
      <c r="W69" s="198"/>
      <c r="X69" s="165"/>
      <c r="Y69" s="162"/>
      <c r="Z69" s="388"/>
      <c r="AA69" s="389"/>
      <c r="AB69" s="391"/>
      <c r="AC69" s="390"/>
      <c r="AD69" s="388"/>
      <c r="AE69" s="389"/>
      <c r="AF69" s="391"/>
      <c r="AG69" s="390"/>
      <c r="AH69" s="388"/>
      <c r="AI69" s="388"/>
    </row>
    <row r="70" spans="2:35" ht="20.100000000000001" customHeight="1" x14ac:dyDescent="0.25">
      <c r="B70" s="758"/>
      <c r="C70" s="149"/>
      <c r="D70" s="189" t="str">
        <f>'2.6 Сварка'!G64</f>
        <v>Пыль неорг.с сод-м SiO2 70-20 %</v>
      </c>
      <c r="E70" s="218">
        <f>'2.6 Сварка'!H64</f>
        <v>2908</v>
      </c>
      <c r="F70" s="191"/>
      <c r="G70" s="192"/>
      <c r="H70" s="201">
        <f>'2.6 Сварка'!J64</f>
        <v>2.9999999999999997E-4</v>
      </c>
      <c r="I70" s="202">
        <f>'2.6 Сварка'!K64</f>
        <v>2.0000000000000001E-4</v>
      </c>
      <c r="J70" s="191"/>
      <c r="K70" s="192"/>
      <c r="L70" s="197"/>
      <c r="M70" s="198"/>
      <c r="N70" s="197"/>
      <c r="O70" s="162"/>
      <c r="P70" s="197"/>
      <c r="Q70" s="162"/>
      <c r="R70" s="197"/>
      <c r="S70" s="198"/>
      <c r="T70" s="197"/>
      <c r="U70" s="198"/>
      <c r="V70" s="197"/>
      <c r="W70" s="198"/>
      <c r="X70" s="165"/>
      <c r="Y70" s="162"/>
      <c r="Z70" s="388"/>
      <c r="AA70" s="389"/>
      <c r="AB70" s="391"/>
      <c r="AC70" s="390"/>
      <c r="AD70" s="388"/>
      <c r="AE70" s="389"/>
      <c r="AF70" s="391"/>
      <c r="AG70" s="390"/>
      <c r="AH70" s="388"/>
      <c r="AI70" s="388"/>
    </row>
    <row r="71" spans="2:35" ht="20.100000000000001" customHeight="1" x14ac:dyDescent="0.25">
      <c r="B71" s="758"/>
      <c r="C71" s="149"/>
      <c r="D71" s="189" t="str">
        <f>'2.6 Сварка'!G65</f>
        <v>Оксид углерода</v>
      </c>
      <c r="E71" s="218" t="str">
        <f>'2.6 Сварка'!H65</f>
        <v>0337</v>
      </c>
      <c r="F71" s="191"/>
      <c r="G71" s="192"/>
      <c r="H71" s="239">
        <f>'2.6 Сварка'!J65+'2.7сварка полиэтилена'!H48</f>
        <v>3.0010000000000002E-3</v>
      </c>
      <c r="I71" s="202">
        <f>'2.6 Сварка'!K65+'2.7сварка полиэтилена'!I48</f>
        <v>1.50005E-3</v>
      </c>
      <c r="J71" s="191"/>
      <c r="K71" s="192"/>
      <c r="L71" s="197"/>
      <c r="M71" s="198"/>
      <c r="N71" s="197"/>
      <c r="O71" s="162"/>
      <c r="P71" s="197"/>
      <c r="Q71" s="162"/>
      <c r="R71" s="197"/>
      <c r="S71" s="198"/>
      <c r="T71" s="197"/>
      <c r="U71" s="198"/>
      <c r="V71" s="197"/>
      <c r="W71" s="198"/>
      <c r="X71" s="165"/>
      <c r="Y71" s="162"/>
      <c r="Z71" s="388"/>
      <c r="AA71" s="389"/>
      <c r="AB71" s="391"/>
      <c r="AC71" s="390"/>
      <c r="AD71" s="388"/>
      <c r="AE71" s="389"/>
      <c r="AF71" s="391"/>
      <c r="AG71" s="390"/>
      <c r="AH71" s="388"/>
      <c r="AI71" s="388"/>
    </row>
    <row r="72" spans="2:35" ht="20.100000000000001" customHeight="1" x14ac:dyDescent="0.25">
      <c r="B72" s="757"/>
      <c r="C72" s="150"/>
      <c r="D72" s="193" t="str">
        <f>'2.7сварка полиэтилена'!F49</f>
        <v>Хлорэтилен /Винилхлорид/</v>
      </c>
      <c r="E72" s="194" t="str">
        <f>'2.7сварка полиэтилена'!G49</f>
        <v>0827</v>
      </c>
      <c r="F72" s="195"/>
      <c r="G72" s="196"/>
      <c r="H72" s="462">
        <f>'2.7сварка полиэтилена'!H49</f>
        <v>3.9999999999999998E-7</v>
      </c>
      <c r="I72" s="211">
        <f>'2.7сварка полиэтилена'!I49</f>
        <v>2E-8</v>
      </c>
      <c r="J72" s="195"/>
      <c r="K72" s="196"/>
      <c r="L72" s="442"/>
      <c r="M72" s="443"/>
      <c r="N72" s="442"/>
      <c r="O72" s="586"/>
      <c r="P72" s="442"/>
      <c r="Q72" s="586"/>
      <c r="R72" s="442"/>
      <c r="S72" s="443"/>
      <c r="T72" s="442"/>
      <c r="U72" s="443"/>
      <c r="V72" s="442"/>
      <c r="W72" s="443"/>
      <c r="X72" s="607"/>
      <c r="Y72" s="586"/>
      <c r="Z72" s="397"/>
      <c r="AA72" s="398"/>
      <c r="AB72" s="400"/>
      <c r="AC72" s="399"/>
      <c r="AD72" s="397"/>
      <c r="AE72" s="398"/>
      <c r="AF72" s="400"/>
      <c r="AG72" s="399"/>
      <c r="AH72" s="397"/>
      <c r="AI72" s="397"/>
    </row>
    <row r="73" spans="2:35" s="232" customFormat="1" ht="42" customHeight="1" x14ac:dyDescent="0.25">
      <c r="B73" s="756" t="s">
        <v>129</v>
      </c>
      <c r="C73" s="237">
        <v>8016</v>
      </c>
      <c r="D73" s="249" t="str">
        <f>'2.3 земляные работы'!N96</f>
        <v>Пыль неорг. с содержанием SiO2 70-20 %</v>
      </c>
      <c r="E73" s="244" t="str">
        <f>'2.3 земляные работы'!O96</f>
        <v>2908</v>
      </c>
      <c r="F73" s="245"/>
      <c r="G73" s="246"/>
      <c r="H73" s="247"/>
      <c r="I73" s="463"/>
      <c r="J73" s="245">
        <f>'2.3 земляные работы'!Q96</f>
        <v>2.9999999999999997E-4</v>
      </c>
      <c r="K73" s="248">
        <f>'2.3 земляные работы'!R96</f>
        <v>1.0000000000000001E-5</v>
      </c>
      <c r="L73" s="245"/>
      <c r="M73" s="246"/>
      <c r="N73" s="245"/>
      <c r="O73" s="244"/>
      <c r="P73" s="245"/>
      <c r="Q73" s="244"/>
      <c r="R73" s="245"/>
      <c r="S73" s="246"/>
      <c r="T73" s="245"/>
      <c r="U73" s="246"/>
      <c r="V73" s="245"/>
      <c r="W73" s="246"/>
      <c r="X73" s="606"/>
      <c r="Y73" s="244"/>
      <c r="Z73" s="367"/>
      <c r="AA73" s="368"/>
      <c r="AB73" s="407"/>
      <c r="AC73" s="406"/>
      <c r="AD73" s="367"/>
      <c r="AE73" s="368"/>
      <c r="AF73" s="407"/>
      <c r="AG73" s="406"/>
      <c r="AH73" s="367"/>
      <c r="AI73" s="367"/>
    </row>
    <row r="74" spans="2:35" s="232" customFormat="1" ht="42" customHeight="1" x14ac:dyDescent="0.25">
      <c r="B74" s="757"/>
      <c r="C74" s="237">
        <v>8017</v>
      </c>
      <c r="D74" s="249" t="str">
        <f>'2.4 транспортирование'!R76</f>
        <v>Пыль неорг. с сод-м SiO2 70-20%</v>
      </c>
      <c r="E74" s="237">
        <f>'2.4 транспортирование'!S76</f>
        <v>2908</v>
      </c>
      <c r="F74" s="245"/>
      <c r="G74" s="246"/>
      <c r="H74" s="247"/>
      <c r="I74" s="463"/>
      <c r="J74" s="259">
        <f>'2.4 транспортирование'!T76</f>
        <v>6.9999999999999999E-4</v>
      </c>
      <c r="K74" s="246">
        <f>'2.4 транспортирование'!U76</f>
        <v>1.0000000000000001E-5</v>
      </c>
      <c r="L74" s="245"/>
      <c r="M74" s="246"/>
      <c r="N74" s="245"/>
      <c r="O74" s="244"/>
      <c r="P74" s="245"/>
      <c r="Q74" s="244"/>
      <c r="R74" s="245"/>
      <c r="S74" s="246"/>
      <c r="T74" s="245"/>
      <c r="U74" s="246"/>
      <c r="V74" s="245"/>
      <c r="W74" s="246"/>
      <c r="X74" s="606"/>
      <c r="Y74" s="244"/>
      <c r="Z74" s="367"/>
      <c r="AA74" s="368"/>
      <c r="AB74" s="407"/>
      <c r="AC74" s="406"/>
      <c r="AD74" s="367"/>
      <c r="AE74" s="368"/>
      <c r="AF74" s="407"/>
      <c r="AG74" s="406"/>
      <c r="AH74" s="367"/>
      <c r="AI74" s="367"/>
    </row>
    <row r="75" spans="2:35" s="232" customFormat="1" ht="48.75" customHeight="1" x14ac:dyDescent="0.25">
      <c r="B75" s="756" t="s">
        <v>132</v>
      </c>
      <c r="C75" s="250">
        <v>8018</v>
      </c>
      <c r="D75" s="249" t="str">
        <f>'2.3 земляные работы'!N98</f>
        <v>Пыль неорг. с содержанием SiO2 70-20 %</v>
      </c>
      <c r="E75" s="244" t="str">
        <f>'2.3 земляные работы'!O98</f>
        <v>2908</v>
      </c>
      <c r="F75" s="245"/>
      <c r="G75" s="246"/>
      <c r="H75" s="247"/>
      <c r="I75" s="463"/>
      <c r="J75" s="245">
        <f>'2.3 земляные работы'!Q98</f>
        <v>2.9999999999999997E-4</v>
      </c>
      <c r="K75" s="248">
        <f>'2.3 земляные работы'!R98</f>
        <v>1.0000000000000001E-5</v>
      </c>
      <c r="L75" s="245"/>
      <c r="M75" s="246"/>
      <c r="N75" s="245"/>
      <c r="O75" s="244"/>
      <c r="P75" s="245"/>
      <c r="Q75" s="244"/>
      <c r="R75" s="245"/>
      <c r="S75" s="246"/>
      <c r="T75" s="245"/>
      <c r="U75" s="246"/>
      <c r="V75" s="245"/>
      <c r="W75" s="246"/>
      <c r="X75" s="606"/>
      <c r="Y75" s="244"/>
      <c r="Z75" s="367"/>
      <c r="AA75" s="368"/>
      <c r="AB75" s="407"/>
      <c r="AC75" s="406"/>
      <c r="AD75" s="367"/>
      <c r="AE75" s="368"/>
      <c r="AF75" s="407"/>
      <c r="AG75" s="406"/>
      <c r="AH75" s="367"/>
      <c r="AI75" s="367"/>
    </row>
    <row r="76" spans="2:35" s="232" customFormat="1" ht="48.75" customHeight="1" x14ac:dyDescent="0.25">
      <c r="B76" s="757"/>
      <c r="C76" s="237">
        <v>8019</v>
      </c>
      <c r="D76" s="249" t="str">
        <f>'2.4 транспортирование'!R78</f>
        <v>Пыль неорг. с сод-м SiO2 70-20%</v>
      </c>
      <c r="E76" s="237">
        <f>'2.4 транспортирование'!S78</f>
        <v>2908</v>
      </c>
      <c r="F76" s="245"/>
      <c r="G76" s="246"/>
      <c r="H76" s="247"/>
      <c r="I76" s="463"/>
      <c r="J76" s="259">
        <f>'2.4 транспортирование'!T78</f>
        <v>8.0000000000000004E-4</v>
      </c>
      <c r="K76" s="246">
        <f>'2.4 транспортирование'!U78</f>
        <v>1.0000000000000001E-5</v>
      </c>
      <c r="L76" s="245"/>
      <c r="M76" s="246"/>
      <c r="N76" s="245"/>
      <c r="O76" s="244"/>
      <c r="P76" s="245"/>
      <c r="Q76" s="244"/>
      <c r="R76" s="245"/>
      <c r="S76" s="246"/>
      <c r="T76" s="245"/>
      <c r="U76" s="246"/>
      <c r="V76" s="245"/>
      <c r="W76" s="246"/>
      <c r="X76" s="606"/>
      <c r="Y76" s="244"/>
      <c r="Z76" s="367"/>
      <c r="AA76" s="368"/>
      <c r="AB76" s="407"/>
      <c r="AC76" s="406"/>
      <c r="AD76" s="367"/>
      <c r="AE76" s="368"/>
      <c r="AF76" s="407"/>
      <c r="AG76" s="406"/>
      <c r="AH76" s="367"/>
      <c r="AI76" s="367"/>
    </row>
    <row r="77" spans="2:35" s="232" customFormat="1" ht="65.25" customHeight="1" x14ac:dyDescent="0.25">
      <c r="B77" s="756" t="s">
        <v>476</v>
      </c>
      <c r="C77" s="251">
        <v>8020</v>
      </c>
      <c r="D77" s="249" t="str">
        <f>'2.3 земляные работы'!N57</f>
        <v>Пыль неорг. с содержанием SiO2 70-20 %</v>
      </c>
      <c r="E77" s="237" t="str">
        <f>'2.3 земляные работы'!O57</f>
        <v>2908</v>
      </c>
      <c r="F77" s="259">
        <f>'2.1 снятие ПРС бульдозер'!O39+'2.2 погрузка экскаватора'!O42+'2.3 земляные работы'!Q57</f>
        <v>0.32899999999999996</v>
      </c>
      <c r="G77" s="246">
        <f>'2.1 снятие ПРС бульдозер'!P39+'2.2 погрузка экскаватора'!P42+'2.3 земляные работы'!R57</f>
        <v>0.32399999999999995</v>
      </c>
      <c r="H77" s="247"/>
      <c r="I77" s="463"/>
      <c r="J77" s="245"/>
      <c r="K77" s="246"/>
      <c r="L77" s="245"/>
      <c r="M77" s="246"/>
      <c r="N77" s="245"/>
      <c r="O77" s="244"/>
      <c r="P77" s="245"/>
      <c r="Q77" s="244"/>
      <c r="R77" s="245"/>
      <c r="S77" s="246"/>
      <c r="T77" s="245"/>
      <c r="U77" s="246"/>
      <c r="V77" s="245"/>
      <c r="W77" s="246"/>
      <c r="X77" s="606"/>
      <c r="Y77" s="244"/>
      <c r="Z77" s="367"/>
      <c r="AA77" s="368"/>
      <c r="AB77" s="407"/>
      <c r="AC77" s="406"/>
      <c r="AD77" s="367"/>
      <c r="AE77" s="368"/>
      <c r="AF77" s="407"/>
      <c r="AG77" s="406"/>
      <c r="AH77" s="367"/>
      <c r="AI77" s="367"/>
    </row>
    <row r="78" spans="2:35" s="257" customFormat="1" ht="68.25" customHeight="1" x14ac:dyDescent="0.25">
      <c r="B78" s="757"/>
      <c r="C78" s="252">
        <v>8021</v>
      </c>
      <c r="D78" s="273" t="str">
        <f>'2.4 транспортирование'!R58</f>
        <v>Пыль неорг. с сод-м SiO2 70-20%</v>
      </c>
      <c r="E78" s="252">
        <f>'2.4 транспортирование'!S58</f>
        <v>2908</v>
      </c>
      <c r="F78" s="254">
        <f>'2.4 транспортирование'!T58</f>
        <v>6.8999999999999999E-3</v>
      </c>
      <c r="G78" s="255">
        <f>'2.4 транспортирование'!U58</f>
        <v>3.3E-3</v>
      </c>
      <c r="H78" s="256"/>
      <c r="I78" s="253"/>
      <c r="J78" s="254"/>
      <c r="K78" s="584"/>
      <c r="L78" s="254"/>
      <c r="M78" s="255"/>
      <c r="N78" s="254"/>
      <c r="O78" s="253"/>
      <c r="P78" s="254"/>
      <c r="Q78" s="253"/>
      <c r="R78" s="254"/>
      <c r="S78" s="255"/>
      <c r="T78" s="254"/>
      <c r="U78" s="255"/>
      <c r="V78" s="254"/>
      <c r="W78" s="255"/>
      <c r="X78" s="603"/>
      <c r="Y78" s="253"/>
      <c r="Z78" s="369"/>
      <c r="AA78" s="370"/>
      <c r="AB78" s="409"/>
      <c r="AC78" s="408"/>
      <c r="AD78" s="369"/>
      <c r="AE78" s="370"/>
      <c r="AF78" s="409"/>
      <c r="AG78" s="408"/>
      <c r="AH78" s="369"/>
      <c r="AI78" s="369"/>
    </row>
    <row r="79" spans="2:35" s="232" customFormat="1" ht="56.25" customHeight="1" x14ac:dyDescent="0.25">
      <c r="B79" s="756" t="s">
        <v>539</v>
      </c>
      <c r="C79" s="237">
        <v>8022</v>
      </c>
      <c r="D79" s="249" t="str">
        <f>'2.3 земляные работы'!N105</f>
        <v>Пыль неорг. с содержанием SiO2 70-20 %</v>
      </c>
      <c r="E79" s="237" t="str">
        <f>'2.3 земляные работы'!O105</f>
        <v>2908</v>
      </c>
      <c r="F79" s="245"/>
      <c r="G79" s="246"/>
      <c r="H79" s="258"/>
      <c r="I79" s="251"/>
      <c r="J79" s="259">
        <f>'2.3 земляные работы'!Q105</f>
        <v>3.6499999999999998E-2</v>
      </c>
      <c r="K79" s="246">
        <f>'2.3 земляные работы'!R105</f>
        <v>0.19630999999999998</v>
      </c>
      <c r="L79" s="245"/>
      <c r="M79" s="246"/>
      <c r="N79" s="245"/>
      <c r="O79" s="244"/>
      <c r="P79" s="259"/>
      <c r="Q79" s="244"/>
      <c r="R79" s="245"/>
      <c r="S79" s="246"/>
      <c r="T79" s="259"/>
      <c r="U79" s="237"/>
      <c r="V79" s="245"/>
      <c r="W79" s="246"/>
      <c r="X79" s="606"/>
      <c r="Y79" s="244"/>
      <c r="Z79" s="412"/>
      <c r="AA79" s="406"/>
      <c r="AB79" s="367"/>
      <c r="AC79" s="406"/>
      <c r="AD79" s="367"/>
      <c r="AE79" s="368"/>
      <c r="AF79" s="407"/>
      <c r="AG79" s="368"/>
      <c r="AH79" s="367"/>
      <c r="AI79" s="367"/>
    </row>
    <row r="80" spans="2:35" s="261" customFormat="1" ht="56.25" customHeight="1" x14ac:dyDescent="0.25">
      <c r="B80" s="757"/>
      <c r="C80" s="251">
        <v>8023</v>
      </c>
      <c r="D80" s="274" t="str">
        <f>'2.4 транспортирование'!R80</f>
        <v>Пыль неорг. с сод-м SiO2 70-20%</v>
      </c>
      <c r="E80" s="251">
        <f>'2.4 транспортирование'!S80</f>
        <v>2908</v>
      </c>
      <c r="F80" s="247"/>
      <c r="G80" s="260"/>
      <c r="H80" s="258"/>
      <c r="I80" s="251"/>
      <c r="J80" s="258">
        <f>'2.4 транспортирование'!T80</f>
        <v>8.0000000000000004E-4</v>
      </c>
      <c r="K80" s="260">
        <f>'2.4 транспортирование'!U80</f>
        <v>3.2000000000000003E-4</v>
      </c>
      <c r="L80" s="247"/>
      <c r="M80" s="260"/>
      <c r="N80" s="258"/>
      <c r="O80" s="260"/>
      <c r="P80" s="258"/>
      <c r="Q80" s="463"/>
      <c r="R80" s="247"/>
      <c r="S80" s="260"/>
      <c r="T80" s="258"/>
      <c r="U80" s="251"/>
      <c r="V80" s="258"/>
      <c r="W80" s="260"/>
      <c r="X80" s="605"/>
      <c r="Y80" s="605"/>
      <c r="Z80" s="410"/>
      <c r="AA80" s="405"/>
      <c r="AB80" s="410"/>
      <c r="AC80" s="411"/>
      <c r="AD80" s="371"/>
      <c r="AE80" s="413"/>
      <c r="AF80" s="371"/>
      <c r="AG80" s="372"/>
      <c r="AH80" s="371"/>
      <c r="AI80" s="371"/>
    </row>
    <row r="81" spans="2:35" ht="51.75" customHeight="1" x14ac:dyDescent="0.25">
      <c r="B81" s="756" t="s">
        <v>543</v>
      </c>
      <c r="C81" s="237">
        <v>8024</v>
      </c>
      <c r="D81" s="237" t="str">
        <f>'2.3 земляные работы'!N112</f>
        <v>Пыль неорг. с содержанием SiO2 70-20 %</v>
      </c>
      <c r="E81" s="237" t="str">
        <f>'2.3 земляные работы'!O112</f>
        <v>2908</v>
      </c>
      <c r="F81" s="245"/>
      <c r="G81" s="246"/>
      <c r="H81" s="247"/>
      <c r="I81" s="463"/>
      <c r="J81" s="259">
        <f>'2.3 земляные работы'!Q112</f>
        <v>3.6499999999999998E-2</v>
      </c>
      <c r="K81" s="246">
        <f>'2.3 земляные работы'!R112</f>
        <v>0.13289999999999999</v>
      </c>
      <c r="L81" s="160"/>
      <c r="M81" s="161"/>
      <c r="N81" s="166"/>
      <c r="O81" s="161"/>
      <c r="P81" s="160"/>
      <c r="Q81" s="181"/>
      <c r="R81" s="160"/>
      <c r="S81" s="161"/>
      <c r="T81" s="160"/>
      <c r="U81" s="161"/>
      <c r="V81" s="160"/>
      <c r="W81" s="161"/>
      <c r="X81" s="153"/>
      <c r="Y81" s="181"/>
      <c r="Z81" s="401"/>
      <c r="AA81" s="402"/>
      <c r="AB81" s="153"/>
      <c r="AC81" s="181"/>
      <c r="AD81" s="160"/>
      <c r="AE81" s="181"/>
      <c r="AF81" s="160"/>
      <c r="AG81" s="161"/>
      <c r="AH81" s="160"/>
      <c r="AI81" s="160"/>
    </row>
    <row r="82" spans="2:35" s="257" customFormat="1" ht="42" customHeight="1" x14ac:dyDescent="0.25">
      <c r="B82" s="758"/>
      <c r="C82" s="262">
        <v>8025</v>
      </c>
      <c r="D82" s="274" t="str">
        <f>'2.4 транспортирование'!R82</f>
        <v>Пыль неорг. с сод-м SiO2 70-20%</v>
      </c>
      <c r="E82" s="251">
        <f>'2.4 транспортирование'!S82</f>
        <v>2908</v>
      </c>
      <c r="F82" s="264"/>
      <c r="G82" s="265"/>
      <c r="H82" s="266"/>
      <c r="I82" s="265"/>
      <c r="J82" s="266">
        <f>'2.4 транспортирование'!T82</f>
        <v>8.0000000000000004E-4</v>
      </c>
      <c r="K82" s="265">
        <f>'2.4 транспортирование'!U82</f>
        <v>1.7000000000000001E-4</v>
      </c>
      <c r="L82" s="264"/>
      <c r="M82" s="265"/>
      <c r="N82" s="266"/>
      <c r="O82" s="265"/>
      <c r="P82" s="266"/>
      <c r="Q82" s="263"/>
      <c r="R82" s="264"/>
      <c r="S82" s="265"/>
      <c r="T82" s="266"/>
      <c r="U82" s="265"/>
      <c r="V82" s="266"/>
      <c r="W82" s="263"/>
      <c r="X82" s="264"/>
      <c r="Y82" s="265"/>
      <c r="Z82" s="414"/>
      <c r="AA82" s="416"/>
      <c r="AB82" s="373"/>
      <c r="AC82" s="415"/>
      <c r="AD82" s="414"/>
      <c r="AE82" s="416"/>
      <c r="AF82" s="373"/>
      <c r="AG82" s="374"/>
      <c r="AH82" s="414"/>
      <c r="AI82" s="414"/>
    </row>
    <row r="83" spans="2:35" s="257" customFormat="1" ht="60" customHeight="1" x14ac:dyDescent="0.25">
      <c r="B83" s="293" t="s">
        <v>477</v>
      </c>
      <c r="C83" s="252">
        <v>8026</v>
      </c>
      <c r="D83" s="273" t="str">
        <f>'2.5.1 склад ПРС'!U47</f>
        <v xml:space="preserve">Пыль неорган. 70-20% двуокиси кремния </v>
      </c>
      <c r="E83" s="253">
        <f>'2.5.1 склад ПРС'!V47</f>
        <v>2908</v>
      </c>
      <c r="F83" s="254">
        <f>'2.5.1 склад ПРС'!X47</f>
        <v>0.35299999999999998</v>
      </c>
      <c r="G83" s="252">
        <f>'2.5.1 склад ПРС'!Y47</f>
        <v>2.4374000000000002</v>
      </c>
      <c r="H83" s="256">
        <f>'2.5.1 склад ПРС'!X52</f>
        <v>0.15639999999999998</v>
      </c>
      <c r="I83" s="255">
        <f>'2.5.1 склад ПРС'!Y52</f>
        <v>1.0777000000000001</v>
      </c>
      <c r="J83" s="256">
        <f>'2.5.1 склад ПРС'!X57</f>
        <v>1.8499999999999999E-2</v>
      </c>
      <c r="K83" s="255">
        <f>'2.5.1 склад ПРС'!Y57</f>
        <v>6.0600000000000001E-2</v>
      </c>
      <c r="L83" s="254">
        <f>'2.5.1 склад ПРС'!X59</f>
        <v>1.6999999999999999E-3</v>
      </c>
      <c r="M83" s="255">
        <f>'2.5.1 склад ПРС'!Y59</f>
        <v>1.35E-2</v>
      </c>
      <c r="N83" s="256">
        <f>'2.5.1 склад ПРС'!X64</f>
        <v>4.0599999999999997E-2</v>
      </c>
      <c r="O83" s="253">
        <f>'2.5.1 склад ПРС'!Y64</f>
        <v>0.30710000000000004</v>
      </c>
      <c r="P83" s="256">
        <f>'2.5.1 склад ПРС'!X66</f>
        <v>1.7299999999999999E-2</v>
      </c>
      <c r="Q83" s="253">
        <f>'2.5.1 склад ПРС'!Y66</f>
        <v>0.13750000000000001</v>
      </c>
      <c r="R83" s="254">
        <f>'2.5.1 склад ПРС'!X71</f>
        <v>6.7400000000000002E-2</v>
      </c>
      <c r="S83" s="255">
        <f>'2.5.1 склад ПРС'!Y71</f>
        <v>0.2646</v>
      </c>
      <c r="T83" s="256">
        <f>'2.5.1 склад ПРС'!X73</f>
        <v>1.49E-2</v>
      </c>
      <c r="U83" s="255">
        <f>'2.5.1 склад ПРС'!Y73</f>
        <v>0.11840000000000001</v>
      </c>
      <c r="V83" s="256">
        <f>'2.5.1 склад ПРС'!X78</f>
        <v>3.8899999999999997E-2</v>
      </c>
      <c r="W83" s="253">
        <f>'2.5.1 склад ПРС'!Y78</f>
        <v>0.29070000000000001</v>
      </c>
      <c r="X83" s="256">
        <f>'2.5.1 склад ПРС'!X80</f>
        <v>1.5599999999999999E-2</v>
      </c>
      <c r="Y83" s="255">
        <f>'2.5.1 склад ПРС'!Y80</f>
        <v>0.124</v>
      </c>
      <c r="Z83" s="591"/>
      <c r="AA83" s="408"/>
      <c r="AB83" s="256">
        <f>'2.5.1 склад ПРС'!X85</f>
        <v>5.5099999999999996E-2</v>
      </c>
      <c r="AC83" s="252">
        <f>'2.5.1 склад ПРС'!Y85</f>
        <v>0.37270000000000003</v>
      </c>
      <c r="AD83" s="254">
        <f>'2.5.1 склад ПРС'!X87</f>
        <v>2.01E-2</v>
      </c>
      <c r="AE83" s="433">
        <f>'2.5.1 склад ПРС'!Y87</f>
        <v>0.1598</v>
      </c>
      <c r="AF83" s="254"/>
      <c r="AG83" s="253"/>
      <c r="AH83" s="256"/>
      <c r="AI83" s="256"/>
    </row>
    <row r="84" spans="2:35" s="257" customFormat="1" ht="96.75" customHeight="1" x14ac:dyDescent="0.25">
      <c r="B84" s="293" t="s">
        <v>563</v>
      </c>
      <c r="C84" s="252">
        <v>8027</v>
      </c>
      <c r="D84" s="273" t="str">
        <f>'2.5.2 временные склады'!U12</f>
        <v xml:space="preserve">Пыль неорган. 70-20% двуокиси кремния </v>
      </c>
      <c r="E84" s="252">
        <f>'2.5.2 временные склады'!V12</f>
        <v>2908</v>
      </c>
      <c r="F84" s="256">
        <f>'2.5.2 временные склады'!X12</f>
        <v>9.2499999999999999E-2</v>
      </c>
      <c r="G84" s="255">
        <f>'2.5.2 временные склады'!Y12</f>
        <v>0.1111</v>
      </c>
      <c r="H84" s="256">
        <f>'2.5.2 временные склады'!X31</f>
        <v>6.2600000000000003E-2</v>
      </c>
      <c r="I84" s="255">
        <f>'2.5.2 временные склады'!Y31</f>
        <v>0.11849999999999999</v>
      </c>
      <c r="J84" s="256">
        <f>'2.5.2 временные склады'!X50</f>
        <v>0.1057</v>
      </c>
      <c r="K84" s="255">
        <f>'2.5.2 временные склады'!Y50</f>
        <v>0.12740000000000001</v>
      </c>
      <c r="L84" s="254"/>
      <c r="M84" s="255"/>
      <c r="N84" s="256"/>
      <c r="O84" s="253"/>
      <c r="P84" s="256">
        <f>'2.5.2 временные склады'!X70</f>
        <v>4.3499999999999997E-2</v>
      </c>
      <c r="Q84" s="253">
        <f>'2.5.2 временные склады'!Y70</f>
        <v>0.16839999999999999</v>
      </c>
      <c r="R84" s="254"/>
      <c r="S84" s="255"/>
      <c r="T84" s="256">
        <f>'2.5.2 временные склады'!X90</f>
        <v>5.4399999999999997E-2</v>
      </c>
      <c r="U84" s="253">
        <f>'2.5.2 временные склады'!Y90</f>
        <v>0.18819999999999998</v>
      </c>
      <c r="V84" s="256"/>
      <c r="W84" s="253"/>
      <c r="X84" s="254"/>
      <c r="Y84" s="253"/>
      <c r="Z84" s="591">
        <f>'2.5.2 временные склады'!X117</f>
        <v>4.9000000000000002E-2</v>
      </c>
      <c r="AA84" s="370">
        <f>'2.5.2 временные склады'!Y117</f>
        <v>0.1535</v>
      </c>
      <c r="AB84" s="254"/>
      <c r="AC84" s="433"/>
      <c r="AD84" s="256"/>
      <c r="AE84" s="253"/>
      <c r="AF84" s="256">
        <f>'2.5.2 временные склады'!X144</f>
        <v>4.3499999999999997E-2</v>
      </c>
      <c r="AG84" s="252">
        <f>'2.5.2 временные склады'!Y144</f>
        <v>0.14949999999999999</v>
      </c>
      <c r="AH84" s="254">
        <f>'2.5.2 временные склады'!X157</f>
        <v>3.2599999999999997E-2</v>
      </c>
      <c r="AI84" s="254">
        <f>'2.5.2 временные склады'!Y157</f>
        <v>8.9700000000000002E-2</v>
      </c>
    </row>
    <row r="85" spans="2:35" s="257" customFormat="1" ht="96.75" customHeight="1" x14ac:dyDescent="0.25">
      <c r="B85" s="356" t="s">
        <v>564</v>
      </c>
      <c r="C85" s="421">
        <v>8028</v>
      </c>
      <c r="D85" s="422" t="str">
        <f>'2.5.2 временные склады'!U18</f>
        <v xml:space="preserve">Пыль неорган. 70-20% двуокиси кремния </v>
      </c>
      <c r="E85" s="421">
        <f>'2.5.2 временные склады'!V18</f>
        <v>2908</v>
      </c>
      <c r="F85" s="270">
        <f>'2.5.2 временные склады'!X18</f>
        <v>2.3241999999999998</v>
      </c>
      <c r="G85" s="269">
        <f>'2.5.2 временные склады'!Y18</f>
        <v>2.4096000000000002</v>
      </c>
      <c r="H85" s="256">
        <f>'2.5.2 временные склады'!X37</f>
        <v>1.1758</v>
      </c>
      <c r="I85" s="255">
        <f>'2.5.2 временные склады'!Y37</f>
        <v>1.5449000000000002</v>
      </c>
      <c r="J85" s="430"/>
      <c r="K85" s="429"/>
      <c r="L85" s="427"/>
      <c r="M85" s="429"/>
      <c r="N85" s="430"/>
      <c r="O85" s="423"/>
      <c r="P85" s="430"/>
      <c r="Q85" s="423"/>
      <c r="R85" s="427"/>
      <c r="S85" s="429"/>
      <c r="T85" s="430"/>
      <c r="U85" s="429"/>
      <c r="V85" s="430"/>
      <c r="W85" s="423"/>
      <c r="X85" s="268"/>
      <c r="Y85" s="423"/>
      <c r="Z85" s="424"/>
      <c r="AA85" s="425"/>
      <c r="AB85" s="375"/>
      <c r="AC85" s="426"/>
      <c r="AD85" s="424"/>
      <c r="AE85" s="425"/>
      <c r="AF85" s="375"/>
      <c r="AG85" s="425"/>
      <c r="AH85" s="424"/>
      <c r="AI85" s="424"/>
    </row>
    <row r="86" spans="2:35" s="257" customFormat="1" ht="42" customHeight="1" x14ac:dyDescent="0.25">
      <c r="B86" s="760" t="s">
        <v>300</v>
      </c>
      <c r="C86" s="262">
        <v>8029</v>
      </c>
      <c r="D86" s="275" t="str">
        <f>'2.9 топливозаправщик'!K44</f>
        <v>Углеводороды С12-С19</v>
      </c>
      <c r="E86" s="263">
        <f>'2.9 топливозаправщик'!L44</f>
        <v>2754</v>
      </c>
      <c r="F86" s="264">
        <f>'2.9 топливозаправщик'!N44</f>
        <v>6.3E-3</v>
      </c>
      <c r="G86" s="265">
        <f>'2.9 топливозаправщик'!O44</f>
        <v>5.4000000000000003E-3</v>
      </c>
      <c r="H86" s="266">
        <f>'2.9 топливозаправщик'!N47</f>
        <v>6.3E-3</v>
      </c>
      <c r="I86" s="265">
        <f>'2.9 топливозаправщик'!O47</f>
        <v>1.1599999999999999E-2</v>
      </c>
      <c r="J86" s="266">
        <f>'2.9 топливозаправщик'!N50</f>
        <v>6.3E-3</v>
      </c>
      <c r="K86" s="265">
        <f>'2.9 топливозаправщик'!O50</f>
        <v>3.5400000000000002E-3</v>
      </c>
      <c r="L86" s="264"/>
      <c r="M86" s="265"/>
      <c r="N86" s="266">
        <f>'2.9 топливозаправщик'!N53</f>
        <v>6.3E-3</v>
      </c>
      <c r="O86" s="265">
        <f>'2.9 топливозаправщик'!O53</f>
        <v>3.0000000000000001E-3</v>
      </c>
      <c r="P86" s="266">
        <f>'2.9 топливозаправщик'!N56</f>
        <v>6.3E-3</v>
      </c>
      <c r="Q86" s="263">
        <f>'2.9 топливозаправщик'!O56</f>
        <v>4.1599999999999996E-3</v>
      </c>
      <c r="R86" s="264">
        <f>'2.9 топливозаправщик'!N59</f>
        <v>6.3E-3</v>
      </c>
      <c r="S86" s="265">
        <f>'2.9 топливозаправщик'!O59</f>
        <v>2.3900000000000002E-3</v>
      </c>
      <c r="T86" s="266">
        <f>'2.9 топливозаправщик'!N62</f>
        <v>6.3E-3</v>
      </c>
      <c r="U86" s="265">
        <f>'2.9 топливозаправщик'!O62</f>
        <v>6.0699999999999999E-3</v>
      </c>
      <c r="V86" s="266">
        <f>'2.9 топливозаправщик'!N65</f>
        <v>6.3E-3</v>
      </c>
      <c r="W86" s="265">
        <f>'2.9 топливозаправщик'!O65</f>
        <v>2.8E-3</v>
      </c>
      <c r="X86" s="266">
        <f>'2.9 топливозаправщик'!N68</f>
        <v>6.3E-3</v>
      </c>
      <c r="Y86" s="265">
        <f>'2.9 топливозаправщик'!O68</f>
        <v>6.0800000000000003E-3</v>
      </c>
      <c r="Z86" s="414">
        <f>'2.9 топливозаправщик'!N71</f>
        <v>6.3E-3</v>
      </c>
      <c r="AA86" s="374">
        <f>'2.9 топливозаправщик'!O71</f>
        <v>5.3E-3</v>
      </c>
      <c r="AB86" s="266">
        <f>'2.9 топливозаправщик'!N74</f>
        <v>6.3E-3</v>
      </c>
      <c r="AC86" s="265">
        <f>'2.9 топливозаправщик'!O74</f>
        <v>2.31E-3</v>
      </c>
      <c r="AD86" s="266">
        <f>'2.9 топливозаправщик'!N77</f>
        <v>6.3E-3</v>
      </c>
      <c r="AE86" s="265">
        <f>'2.9 топливозаправщик'!O77</f>
        <v>8.1700000000000002E-3</v>
      </c>
      <c r="AF86" s="266">
        <f>'2.9 топливозаправщик'!N80</f>
        <v>6.3E-3</v>
      </c>
      <c r="AG86" s="265">
        <f>'2.9 топливозаправщик'!O80</f>
        <v>3.49E-3</v>
      </c>
      <c r="AH86" s="266">
        <f>'2.9 топливозаправщик'!N83</f>
        <v>6.3E-3</v>
      </c>
      <c r="AI86" s="266">
        <f>'2.9 топливозаправщик'!O83</f>
        <v>1.5200000000000001E-3</v>
      </c>
    </row>
    <row r="87" spans="2:35" s="257" customFormat="1" ht="42" customHeight="1" x14ac:dyDescent="0.25">
      <c r="B87" s="761"/>
      <c r="C87" s="267"/>
      <c r="D87" s="422" t="str">
        <f>'2.9 топливозаправщик'!K45</f>
        <v>Сероводород</v>
      </c>
      <c r="E87" s="423" t="str">
        <f>'2.9 топливозаправщик'!L45</f>
        <v>0333</v>
      </c>
      <c r="F87" s="427">
        <f>'2.9 топливозаправщик'!N45</f>
        <v>2.0000000000000002E-5</v>
      </c>
      <c r="G87" s="429">
        <f>'2.9 топливозаправщик'!O45</f>
        <v>1.5E-5</v>
      </c>
      <c r="H87" s="430">
        <f>'2.9 топливозаправщик'!N48</f>
        <v>2.0000000000000002E-5</v>
      </c>
      <c r="I87" s="429">
        <f>'2.9 топливозаправщик'!O48</f>
        <v>3.3000000000000003E-5</v>
      </c>
      <c r="J87" s="430">
        <f>'2.9 топливозаправщик'!N51</f>
        <v>2.0000000000000002E-5</v>
      </c>
      <c r="K87" s="269">
        <f>'2.9 топливозаправщик'!O51</f>
        <v>1.0000000000000001E-5</v>
      </c>
      <c r="L87" s="268"/>
      <c r="M87" s="269"/>
      <c r="N87" s="430">
        <f>'2.9 топливозаправщик'!N54</f>
        <v>2.0000000000000002E-5</v>
      </c>
      <c r="O87" s="269">
        <f>'2.9 топливозаправщик'!O54</f>
        <v>7.9999999999999996E-6</v>
      </c>
      <c r="P87" s="430">
        <f>'2.9 топливозаправщик'!N57</f>
        <v>2.0000000000000002E-5</v>
      </c>
      <c r="Q87" s="588">
        <f>'2.9 топливозаправщик'!O57</f>
        <v>1.2E-5</v>
      </c>
      <c r="R87" s="427">
        <f>'2.9 топливозаправщик'!N60</f>
        <v>2.0000000000000002E-5</v>
      </c>
      <c r="S87" s="269">
        <f>'2.9 топливозаправщик'!O60</f>
        <v>6.9999999999999999E-6</v>
      </c>
      <c r="T87" s="270">
        <f>'2.9 топливозаправщик'!N63</f>
        <v>2.0000000000000002E-5</v>
      </c>
      <c r="U87" s="269">
        <f>'2.9 топливозаправщик'!O63</f>
        <v>1.7E-5</v>
      </c>
      <c r="V87" s="430">
        <f>'2.9 топливозаправщик'!N66</f>
        <v>2.0000000000000002E-5</v>
      </c>
      <c r="W87" s="269">
        <f>'2.9 топливозаправщик'!O66</f>
        <v>7.9999999999999996E-6</v>
      </c>
      <c r="X87" s="430">
        <f>'2.9 топливозаправщик'!N69</f>
        <v>2.0000000000000002E-5</v>
      </c>
      <c r="Y87" s="269">
        <f>'2.9 топливозаправщик'!O69</f>
        <v>1.7E-5</v>
      </c>
      <c r="Z87" s="424">
        <f>'2.9 топливозаправщик'!N72</f>
        <v>2.0000000000000002E-5</v>
      </c>
      <c r="AA87" s="592">
        <f>'2.9 топливозаправщик'!O72</f>
        <v>1.5E-5</v>
      </c>
      <c r="AB87" s="430">
        <f>'2.9 топливозаправщик'!N75</f>
        <v>2.0000000000000002E-5</v>
      </c>
      <c r="AC87" s="269">
        <f>'2.9 топливозаправщик'!O75</f>
        <v>6.0000000000000002E-6</v>
      </c>
      <c r="AD87" s="430">
        <f>'2.9 топливозаправщик'!N78</f>
        <v>2.0000000000000002E-5</v>
      </c>
      <c r="AE87" s="269">
        <f>'2.9 топливозаправщик'!O78</f>
        <v>2.3E-5</v>
      </c>
      <c r="AF87" s="430">
        <f>'2.9 топливозаправщик'!N81</f>
        <v>2.0000000000000002E-5</v>
      </c>
      <c r="AG87" s="269">
        <f>'2.9 топливозаправщик'!O81</f>
        <v>1.0000000000000001E-5</v>
      </c>
      <c r="AH87" s="430">
        <f>'2.9 топливозаправщик'!N84</f>
        <v>2.0000000000000002E-5</v>
      </c>
      <c r="AI87" s="430">
        <f>'2.9 топливозаправщик'!O84</f>
        <v>3.9999999999999998E-6</v>
      </c>
    </row>
    <row r="88" spans="2:35" s="721" customFormat="1" ht="96.75" customHeight="1" x14ac:dyDescent="0.25">
      <c r="B88" s="722" t="s">
        <v>686</v>
      </c>
      <c r="C88" s="713">
        <v>8031</v>
      </c>
      <c r="D88" s="714" t="str">
        <f>'2.5.2 временные склады'!U24</f>
        <v xml:space="preserve">Пыль неорган. 70-20% двуокиси кремния </v>
      </c>
      <c r="E88" s="715">
        <f>'2.5.2 временные склады'!V24</f>
        <v>2908</v>
      </c>
      <c r="F88" s="716">
        <f>'2.5.2 временные склады'!X24</f>
        <v>0.1084</v>
      </c>
      <c r="G88" s="717">
        <f>'2.5.2 временные склады'!Y24</f>
        <v>0.21510000000000001</v>
      </c>
      <c r="H88" s="718"/>
      <c r="I88" s="717"/>
      <c r="J88" s="718">
        <f>'2.5.2 временные склады'!X56</f>
        <v>6.0600000000000001E-2</v>
      </c>
      <c r="K88" s="727">
        <f>'2.5.2 временные склады'!Y56</f>
        <v>0.22060000000000002</v>
      </c>
      <c r="L88" s="716"/>
      <c r="M88" s="717"/>
      <c r="N88" s="718"/>
      <c r="O88" s="717"/>
      <c r="P88" s="718"/>
      <c r="Q88" s="715"/>
      <c r="R88" s="716"/>
      <c r="S88" s="717"/>
      <c r="T88" s="718"/>
      <c r="U88" s="717"/>
      <c r="V88" s="718"/>
      <c r="W88" s="717"/>
      <c r="X88" s="718"/>
      <c r="Y88" s="717"/>
      <c r="Z88" s="719">
        <f>'2.5.2 временные склады'!X123</f>
        <v>6.8699999999999997E-2</v>
      </c>
      <c r="AA88" s="720">
        <f>'2.5.2 временные склады'!Y123</f>
        <v>0.2671</v>
      </c>
      <c r="AB88" s="718"/>
      <c r="AC88" s="717"/>
      <c r="AD88" s="718"/>
      <c r="AE88" s="717"/>
      <c r="AF88" s="718"/>
      <c r="AG88" s="717"/>
      <c r="AH88" s="718"/>
      <c r="AI88" s="718"/>
    </row>
    <row r="89" spans="2:35" s="721" customFormat="1" ht="96.75" customHeight="1" x14ac:dyDescent="0.25">
      <c r="B89" s="722" t="s">
        <v>689</v>
      </c>
      <c r="C89" s="713">
        <v>8032</v>
      </c>
      <c r="D89" s="714" t="str">
        <f>'2.5.2 временные склады'!U43</f>
        <v xml:space="preserve">Пыль неорган. 70-20% двуокиси кремния </v>
      </c>
      <c r="E89" s="715">
        <f>'2.5.2 временные склады'!V43</f>
        <v>2908</v>
      </c>
      <c r="F89" s="716"/>
      <c r="G89" s="717"/>
      <c r="H89" s="718">
        <f>'2.5.2 временные склады'!X43</f>
        <v>8.4499999999999992E-2</v>
      </c>
      <c r="I89" s="723">
        <f>'2.5.2 временные склады'!Y43</f>
        <v>0.48649999999999999</v>
      </c>
      <c r="J89" s="726"/>
      <c r="K89" s="727"/>
      <c r="L89" s="724"/>
      <c r="M89" s="727"/>
      <c r="N89" s="726">
        <f>'2.5.2 временные склады'!X63</f>
        <v>0.12759999999999999</v>
      </c>
      <c r="O89" s="723">
        <f>'2.5.2 временные склады'!Y63</f>
        <v>0.59390000000000009</v>
      </c>
      <c r="P89" s="724">
        <f>'2.5.2 временные склады'!X76</f>
        <v>0.1143</v>
      </c>
      <c r="Q89" s="728">
        <f>'2.5.2 временные склады'!Y76</f>
        <v>0.48630000000000001</v>
      </c>
      <c r="R89" s="724">
        <f>'2.5.2 временные склады'!X83</f>
        <v>0.16399999999999998</v>
      </c>
      <c r="S89" s="725">
        <f>'2.5.2 временные склады'!Y83</f>
        <v>0.58460000000000001</v>
      </c>
      <c r="T89" s="718">
        <f>'2.5.2 временные склады'!X96</f>
        <v>0.16399999999999998</v>
      </c>
      <c r="U89" s="717">
        <f>'2.5.2 временные склады'!Y96</f>
        <v>0.64260000000000006</v>
      </c>
      <c r="V89" s="718">
        <f>'2.5.2 временные склады'!X103</f>
        <v>0.1376</v>
      </c>
      <c r="W89" s="717">
        <f>'2.5.2 временные склады'!Y103</f>
        <v>0.62850000000000006</v>
      </c>
      <c r="X89" s="718">
        <f>'2.5.2 временные склады'!X110</f>
        <v>0.1376</v>
      </c>
      <c r="Y89" s="717">
        <f>'2.5.2 временные склады'!Y110</f>
        <v>0.74330000000000007</v>
      </c>
      <c r="Z89" s="719"/>
      <c r="AA89" s="720"/>
      <c r="AB89" s="718">
        <f>'2.5.2 временные склады'!X130</f>
        <v>0.187</v>
      </c>
      <c r="AC89" s="717">
        <f>'2.5.2 временные склады'!Y130</f>
        <v>0.73370000000000002</v>
      </c>
      <c r="AD89" s="718">
        <f>'2.5.2 временные склады'!X137</f>
        <v>0.1376</v>
      </c>
      <c r="AE89" s="717">
        <f>'2.5.2 временные склады'!Y137</f>
        <v>0.73370000000000002</v>
      </c>
      <c r="AF89" s="718">
        <f>'2.5.2 временные склады'!X150</f>
        <v>0.1376</v>
      </c>
      <c r="AG89" s="717">
        <f>'2.5.2 временные склады'!Y150</f>
        <v>0.58309999999999995</v>
      </c>
      <c r="AH89" s="718"/>
      <c r="AI89" s="718"/>
    </row>
    <row r="90" spans="2:35" s="721" customFormat="1" ht="96.75" customHeight="1" x14ac:dyDescent="0.25">
      <c r="B90" s="722" t="s">
        <v>689</v>
      </c>
      <c r="C90" s="713">
        <v>8033</v>
      </c>
      <c r="D90" s="714" t="str">
        <f>'2.5.2 временные склады'!U163</f>
        <v xml:space="preserve">Пыль неорган. 70-20% двуокиси кремния </v>
      </c>
      <c r="E90" s="715">
        <f>'2.5.2 временные склады'!V163</f>
        <v>2908</v>
      </c>
      <c r="F90" s="716"/>
      <c r="G90" s="717"/>
      <c r="H90" s="718"/>
      <c r="I90" s="723"/>
      <c r="J90" s="726"/>
      <c r="K90" s="727"/>
      <c r="L90" s="724"/>
      <c r="M90" s="727"/>
      <c r="N90" s="726"/>
      <c r="O90" s="723"/>
      <c r="P90" s="724"/>
      <c r="Q90" s="728"/>
      <c r="R90" s="724"/>
      <c r="S90" s="725"/>
      <c r="T90" s="718"/>
      <c r="U90" s="717"/>
      <c r="V90" s="718"/>
      <c r="W90" s="717"/>
      <c r="X90" s="718"/>
      <c r="Y90" s="717"/>
      <c r="Z90" s="719"/>
      <c r="AA90" s="720"/>
      <c r="AB90" s="718"/>
      <c r="AC90" s="717"/>
      <c r="AD90" s="718"/>
      <c r="AE90" s="717"/>
      <c r="AF90" s="718"/>
      <c r="AG90" s="717"/>
      <c r="AH90" s="718">
        <f>'2.5.2 временные склады'!X163</f>
        <v>1.38E-2</v>
      </c>
      <c r="AI90" s="718">
        <f>'2.5.2 временные склады'!Y163</f>
        <v>3.6900000000000002E-2</v>
      </c>
    </row>
    <row r="91" spans="2:35" s="179" customFormat="1" ht="20.100000000000001" customHeight="1" x14ac:dyDescent="0.25">
      <c r="B91" s="760" t="s">
        <v>478</v>
      </c>
      <c r="C91" s="172">
        <v>2001</v>
      </c>
      <c r="D91" s="276" t="str">
        <f>'2.8ДЭС'!K25</f>
        <v>Углерода оксид</v>
      </c>
      <c r="E91" s="219" t="str">
        <f>'2.8ДЭС'!L25</f>
        <v>0337</v>
      </c>
      <c r="F91" s="220">
        <f>'2.8ДЭС'!M25</f>
        <v>0.06</v>
      </c>
      <c r="G91" s="221">
        <f>'2.8ДЭС'!N25</f>
        <v>2.6100000000000002E-2</v>
      </c>
      <c r="H91" s="220">
        <f>'2.8ДЭС'!M42</f>
        <v>0.06</v>
      </c>
      <c r="I91" s="221">
        <f>'2.8ДЭС'!N42</f>
        <v>4.48E-2</v>
      </c>
      <c r="J91" s="220">
        <f>'2.8ДЭС'!M59</f>
        <v>0.06</v>
      </c>
      <c r="K91" s="221">
        <f>'2.8ДЭС'!N59</f>
        <v>1.8599999999999998E-2</v>
      </c>
      <c r="L91" s="224"/>
      <c r="M91" s="223"/>
      <c r="N91" s="220">
        <f>'2.8ДЭС'!M76</f>
        <v>0.06</v>
      </c>
      <c r="O91" s="221">
        <f>'2.8ДЭС'!N76</f>
        <v>3.7499999999999999E-2</v>
      </c>
      <c r="P91" s="224">
        <f>'2.8ДЭС'!M93</f>
        <v>0.06</v>
      </c>
      <c r="Q91" s="223">
        <f>'2.8ДЭС'!N93</f>
        <v>0.03</v>
      </c>
      <c r="R91" s="224">
        <f>'2.8ДЭС'!M110</f>
        <v>0.06</v>
      </c>
      <c r="S91" s="223">
        <f>'2.8ДЭС'!N110</f>
        <v>3.7499999999999999E-2</v>
      </c>
      <c r="T91" s="222">
        <f>'2.8ДЭС'!M127</f>
        <v>0.06</v>
      </c>
      <c r="U91" s="223">
        <f>'2.8ДЭС'!N127</f>
        <v>3.7499999999999999E-2</v>
      </c>
      <c r="V91" s="222">
        <f>'2.8ДЭС'!M144</f>
        <v>0.06</v>
      </c>
      <c r="W91" s="226">
        <f>'2.8ДЭС'!N144</f>
        <v>0.03</v>
      </c>
      <c r="X91" s="224">
        <f>'2.8ДЭС'!M161</f>
        <v>0.06</v>
      </c>
      <c r="Y91" s="223">
        <f>'2.8ДЭС'!N161</f>
        <v>4.4699999999999997E-2</v>
      </c>
      <c r="Z91" s="609">
        <f>'2.8ДЭС'!M178</f>
        <v>0.06</v>
      </c>
      <c r="AA91" s="610">
        <f>'2.8ДЭС'!N178</f>
        <v>3.3599999999999998E-2</v>
      </c>
      <c r="AB91" s="224">
        <f>'2.8ДЭС'!M195</f>
        <v>0.06</v>
      </c>
      <c r="AC91" s="450">
        <f>'2.8ДЭС'!N195</f>
        <v>2.6100000000000002E-2</v>
      </c>
      <c r="AD91" s="222">
        <f>'2.8ДЭС'!M212</f>
        <v>0.06</v>
      </c>
      <c r="AE91" s="223">
        <f>'2.8ДЭС'!N212</f>
        <v>4.4699999999999997E-2</v>
      </c>
      <c r="AF91" s="225">
        <f>'2.8ДЭС'!M229</f>
        <v>0.06</v>
      </c>
      <c r="AG91" s="223">
        <f>'2.8ДЭС'!N229</f>
        <v>4.4699999999999997E-2</v>
      </c>
      <c r="AH91" s="224"/>
      <c r="AI91" s="224"/>
    </row>
    <row r="92" spans="2:35" s="179" customFormat="1" ht="20.100000000000001" customHeight="1" x14ac:dyDescent="0.25">
      <c r="B92" s="762"/>
      <c r="C92" s="180"/>
      <c r="D92" s="199" t="str">
        <f>'2.8ДЭС'!K26</f>
        <v>Азота диоксид</v>
      </c>
      <c r="E92" s="200" t="str">
        <f>'2.8ДЭС'!L26</f>
        <v>0301</v>
      </c>
      <c r="F92" s="201">
        <f>'2.8ДЭС'!M26</f>
        <v>6.8699999999999997E-2</v>
      </c>
      <c r="G92" s="202">
        <f>'2.8ДЭС'!N26</f>
        <v>2.9899999999999999E-2</v>
      </c>
      <c r="H92" s="201">
        <f>'2.8ДЭС'!M43</f>
        <v>6.8699999999999997E-2</v>
      </c>
      <c r="I92" s="202">
        <f>'2.8ДЭС'!N43</f>
        <v>5.1400000000000001E-2</v>
      </c>
      <c r="J92" s="201">
        <f>'2.8ДЭС'!M60</f>
        <v>6.8699999999999997E-2</v>
      </c>
      <c r="K92" s="202">
        <f>'2.8ДЭС'!N60</f>
        <v>2.1299999999999999E-2</v>
      </c>
      <c r="L92" s="205"/>
      <c r="M92" s="204"/>
      <c r="N92" s="201">
        <f>'2.8ДЭС'!M77</f>
        <v>6.8699999999999997E-2</v>
      </c>
      <c r="O92" s="202">
        <f>'2.8ДЭС'!N77</f>
        <v>4.2999999999999997E-2</v>
      </c>
      <c r="P92" s="205">
        <f>'2.8ДЭС'!M94</f>
        <v>6.8699999999999997E-2</v>
      </c>
      <c r="Q92" s="204">
        <f>'2.8ДЭС'!N94</f>
        <v>3.44E-2</v>
      </c>
      <c r="R92" s="205">
        <f>'2.8ДЭС'!M111</f>
        <v>6.8699999999999997E-2</v>
      </c>
      <c r="S92" s="204">
        <f>'2.8ДЭС'!N111</f>
        <v>4.2999999999999997E-2</v>
      </c>
      <c r="T92" s="203">
        <f>'2.8ДЭС'!M128</f>
        <v>6.8699999999999997E-2</v>
      </c>
      <c r="U92" s="204">
        <f>'2.8ДЭС'!N128</f>
        <v>4.2999999999999997E-2</v>
      </c>
      <c r="V92" s="203">
        <f>'2.8ДЭС'!M145</f>
        <v>6.8699999999999997E-2</v>
      </c>
      <c r="W92" s="206">
        <f>'2.8ДЭС'!N145</f>
        <v>3.44E-2</v>
      </c>
      <c r="X92" s="205">
        <f>'2.8ДЭС'!M162</f>
        <v>6.8699999999999997E-2</v>
      </c>
      <c r="Y92" s="204">
        <f>'2.8ДЭС'!N162</f>
        <v>5.1299999999999998E-2</v>
      </c>
      <c r="Z92" s="611">
        <f>'2.8ДЭС'!M179</f>
        <v>6.8699999999999997E-2</v>
      </c>
      <c r="AA92" s="393">
        <f>'2.8ДЭС'!N179</f>
        <v>3.85E-2</v>
      </c>
      <c r="AB92" s="205">
        <f>'2.8ДЭС'!M196</f>
        <v>6.8699999999999997E-2</v>
      </c>
      <c r="AC92" s="448">
        <f>'2.8ДЭС'!N196</f>
        <v>2.9899999999999999E-2</v>
      </c>
      <c r="AD92" s="203">
        <f>'2.8ДЭС'!M213</f>
        <v>6.8699999999999997E-2</v>
      </c>
      <c r="AE92" s="204">
        <f>'2.8ДЭС'!N213</f>
        <v>5.1299999999999998E-2</v>
      </c>
      <c r="AF92" s="205">
        <f>'2.8ДЭС'!M230</f>
        <v>6.8699999999999997E-2</v>
      </c>
      <c r="AG92" s="204">
        <f>'2.8ДЭС'!N230</f>
        <v>5.1299999999999998E-2</v>
      </c>
      <c r="AH92" s="205"/>
      <c r="AI92" s="205"/>
    </row>
    <row r="93" spans="2:35" s="179" customFormat="1" ht="20.100000000000001" customHeight="1" x14ac:dyDescent="0.25">
      <c r="B93" s="762"/>
      <c r="C93" s="180"/>
      <c r="D93" s="199" t="str">
        <f>'2.8ДЭС'!K27</f>
        <v>Азота оксид</v>
      </c>
      <c r="E93" s="200" t="str">
        <f>'2.8ДЭС'!L27</f>
        <v>0304</v>
      </c>
      <c r="F93" s="201">
        <f>'2.8ДЭС'!M27</f>
        <v>1.12E-2</v>
      </c>
      <c r="G93" s="202">
        <f>'2.8ДЭС'!N27</f>
        <v>4.8999999999999998E-3</v>
      </c>
      <c r="H93" s="201">
        <f>'2.8ДЭС'!M44</f>
        <v>1.12E-2</v>
      </c>
      <c r="I93" s="202">
        <f>'2.8ДЭС'!N44</f>
        <v>8.3999999999999995E-3</v>
      </c>
      <c r="J93" s="201">
        <f>'2.8ДЭС'!M61</f>
        <v>1.12E-2</v>
      </c>
      <c r="K93" s="202">
        <f>'2.8ДЭС'!N61</f>
        <v>3.5000000000000001E-3</v>
      </c>
      <c r="L93" s="205"/>
      <c r="M93" s="204"/>
      <c r="N93" s="201">
        <f>'2.8ДЭС'!M78</f>
        <v>1.12E-2</v>
      </c>
      <c r="O93" s="202">
        <f>'2.8ДЭС'!N78</f>
        <v>7.0000000000000001E-3</v>
      </c>
      <c r="P93" s="205">
        <f>'2.8ДЭС'!M95</f>
        <v>1.12E-2</v>
      </c>
      <c r="Q93" s="204">
        <f>'2.8ДЭС'!N95</f>
        <v>5.5999999999999999E-3</v>
      </c>
      <c r="R93" s="205">
        <f>'2.8ДЭС'!M112</f>
        <v>1.12E-2</v>
      </c>
      <c r="S93" s="204">
        <f>'2.8ДЭС'!N112</f>
        <v>7.0000000000000001E-3</v>
      </c>
      <c r="T93" s="203">
        <f>'2.8ДЭС'!M129</f>
        <v>1.12E-2</v>
      </c>
      <c r="U93" s="204">
        <f>'2.8ДЭС'!N129</f>
        <v>7.0000000000000001E-3</v>
      </c>
      <c r="V93" s="203">
        <f>'2.8ДЭС'!M146</f>
        <v>1.12E-2</v>
      </c>
      <c r="W93" s="206">
        <f>'2.8ДЭС'!N146</f>
        <v>5.5999999999999999E-3</v>
      </c>
      <c r="X93" s="205">
        <f>'2.8ДЭС'!M163</f>
        <v>1.12E-2</v>
      </c>
      <c r="Y93" s="204">
        <f>'2.8ДЭС'!N163</f>
        <v>8.3000000000000001E-3</v>
      </c>
      <c r="Z93" s="611">
        <f>'2.8ДЭС'!M180</f>
        <v>1.12E-2</v>
      </c>
      <c r="AA93" s="393">
        <f>'2.8ДЭС'!N180</f>
        <v>6.3E-3</v>
      </c>
      <c r="AB93" s="205">
        <f>'2.8ДЭС'!M197</f>
        <v>1.12E-2</v>
      </c>
      <c r="AC93" s="448">
        <f>'2.8ДЭС'!N197</f>
        <v>4.8999999999999998E-3</v>
      </c>
      <c r="AD93" s="203">
        <f>'2.8ДЭС'!M214</f>
        <v>1.12E-2</v>
      </c>
      <c r="AE93" s="204">
        <f>'2.8ДЭС'!N214</f>
        <v>8.3000000000000001E-3</v>
      </c>
      <c r="AF93" s="205">
        <f>'2.8ДЭС'!M231</f>
        <v>1.12E-2</v>
      </c>
      <c r="AG93" s="204">
        <f>'2.8ДЭС'!N231</f>
        <v>8.3000000000000001E-3</v>
      </c>
      <c r="AH93" s="205"/>
      <c r="AI93" s="205"/>
    </row>
    <row r="94" spans="2:35" s="179" customFormat="1" ht="20.100000000000001" customHeight="1" x14ac:dyDescent="0.25">
      <c r="B94" s="762"/>
      <c r="C94" s="180"/>
      <c r="D94" s="199" t="str">
        <f>'2.8ДЭС'!K28</f>
        <v>Углеводороды</v>
      </c>
      <c r="E94" s="200">
        <f>'2.8ДЭС'!L28</f>
        <v>2754</v>
      </c>
      <c r="F94" s="201">
        <f>'2.8ДЭС'!M28</f>
        <v>0.03</v>
      </c>
      <c r="G94" s="202">
        <f>'2.8ДЭС'!N28</f>
        <v>1.3100000000000001E-2</v>
      </c>
      <c r="H94" s="201">
        <f>'2.8ДЭС'!M45</f>
        <v>0.03</v>
      </c>
      <c r="I94" s="202">
        <f>'2.8ДЭС'!N45</f>
        <v>2.24E-2</v>
      </c>
      <c r="J94" s="201">
        <f>'2.8ДЭС'!M62</f>
        <v>0.03</v>
      </c>
      <c r="K94" s="202">
        <f>'2.8ДЭС'!N62</f>
        <v>9.2999999999999992E-3</v>
      </c>
      <c r="L94" s="205"/>
      <c r="M94" s="204"/>
      <c r="N94" s="201">
        <f>'2.8ДЭС'!M79</f>
        <v>0.03</v>
      </c>
      <c r="O94" s="202">
        <f>'2.8ДЭС'!N79</f>
        <v>1.8800000000000001E-2</v>
      </c>
      <c r="P94" s="205">
        <f>'2.8ДЭС'!M96</f>
        <v>0.03</v>
      </c>
      <c r="Q94" s="204">
        <f>'2.8ДЭС'!N96</f>
        <v>1.4999999999999999E-2</v>
      </c>
      <c r="R94" s="205">
        <f>'2.8ДЭС'!M113</f>
        <v>0.03</v>
      </c>
      <c r="S94" s="204">
        <f>'2.8ДЭС'!N113</f>
        <v>1.8800000000000001E-2</v>
      </c>
      <c r="T94" s="203">
        <f>'2.8ДЭС'!M130</f>
        <v>0.03</v>
      </c>
      <c r="U94" s="204">
        <f>'2.8ДЭС'!N130</f>
        <v>1.8800000000000001E-2</v>
      </c>
      <c r="V94" s="203">
        <f>'2.8ДЭС'!M147</f>
        <v>0.03</v>
      </c>
      <c r="W94" s="206">
        <f>'2.8ДЭС'!N147</f>
        <v>1.4999999999999999E-2</v>
      </c>
      <c r="X94" s="205">
        <f>'2.8ДЭС'!M164</f>
        <v>0.03</v>
      </c>
      <c r="Y94" s="204">
        <f>'2.8ДЭС'!N164</f>
        <v>2.24E-2</v>
      </c>
      <c r="Z94" s="611">
        <f>'2.8ДЭС'!M181</f>
        <v>0.03</v>
      </c>
      <c r="AA94" s="393">
        <f>'2.8ДЭС'!N181</f>
        <v>1.6799999999999999E-2</v>
      </c>
      <c r="AB94" s="205">
        <f>'2.8ДЭС'!M198</f>
        <v>0.03</v>
      </c>
      <c r="AC94" s="448">
        <f>'2.8ДЭС'!N198</f>
        <v>1.3100000000000001E-2</v>
      </c>
      <c r="AD94" s="203">
        <f>'2.8ДЭС'!M215</f>
        <v>0.03</v>
      </c>
      <c r="AE94" s="204">
        <f>'2.8ДЭС'!N215</f>
        <v>2.24E-2</v>
      </c>
      <c r="AF94" s="205">
        <f>'2.8ДЭС'!M232</f>
        <v>0.03</v>
      </c>
      <c r="AG94" s="204">
        <f>'2.8ДЭС'!N232</f>
        <v>2.24E-2</v>
      </c>
      <c r="AH94" s="205"/>
      <c r="AI94" s="205"/>
    </row>
    <row r="95" spans="2:35" s="179" customFormat="1" ht="20.100000000000001" customHeight="1" x14ac:dyDescent="0.25">
      <c r="B95" s="762"/>
      <c r="C95" s="180"/>
      <c r="D95" s="199" t="str">
        <f>'2.8ДЭС'!K29</f>
        <v>Углерод черный</v>
      </c>
      <c r="E95" s="200" t="str">
        <f>'2.8ДЭС'!L29</f>
        <v>0328</v>
      </c>
      <c r="F95" s="201">
        <f>'2.8ДЭС'!M29</f>
        <v>5.7999999999999996E-3</v>
      </c>
      <c r="G95" s="202">
        <f>'2.8ДЭС'!N29</f>
        <v>2.5999999999999999E-3</v>
      </c>
      <c r="H95" s="201">
        <f>'2.8ДЭС'!M46</f>
        <v>5.7999999999999996E-3</v>
      </c>
      <c r="I95" s="202">
        <f>'2.8ДЭС'!N46</f>
        <v>4.4999999999999997E-3</v>
      </c>
      <c r="J95" s="201">
        <f>'2.8ДЭС'!M63</f>
        <v>5.7999999999999996E-3</v>
      </c>
      <c r="K95" s="202">
        <f>'2.8ДЭС'!N63</f>
        <v>1.9E-3</v>
      </c>
      <c r="L95" s="205"/>
      <c r="M95" s="204"/>
      <c r="N95" s="201">
        <f>'2.8ДЭС'!M80</f>
        <v>5.7999999999999996E-3</v>
      </c>
      <c r="O95" s="202">
        <f>'2.8ДЭС'!N80</f>
        <v>3.8E-3</v>
      </c>
      <c r="P95" s="205">
        <f>'2.8ДЭС'!M97</f>
        <v>5.7999999999999996E-3</v>
      </c>
      <c r="Q95" s="204">
        <f>'2.8ДЭС'!N97</f>
        <v>3.0000000000000001E-3</v>
      </c>
      <c r="R95" s="205">
        <f>'2.8ДЭС'!M114</f>
        <v>5.7999999999999996E-3</v>
      </c>
      <c r="S95" s="204">
        <f>'2.8ДЭС'!N114</f>
        <v>3.8E-3</v>
      </c>
      <c r="T95" s="203">
        <f>'2.8ДЭС'!M131</f>
        <v>5.7999999999999996E-3</v>
      </c>
      <c r="U95" s="204">
        <f>'2.8ДЭС'!N131</f>
        <v>3.8E-3</v>
      </c>
      <c r="V95" s="203">
        <f>'2.8ДЭС'!M148</f>
        <v>5.7999999999999996E-3</v>
      </c>
      <c r="W95" s="206">
        <f>'2.8ДЭС'!N148</f>
        <v>3.0000000000000001E-3</v>
      </c>
      <c r="X95" s="205">
        <f>'2.8ДЭС'!M165</f>
        <v>5.7999999999999996E-3</v>
      </c>
      <c r="Y95" s="204">
        <f>'2.8ДЭС'!N165</f>
        <v>4.4999999999999997E-3</v>
      </c>
      <c r="Z95" s="611">
        <f>'2.8ДЭС'!M182</f>
        <v>5.7999999999999996E-3</v>
      </c>
      <c r="AA95" s="393">
        <f>'2.8ДЭС'!N182</f>
        <v>3.3999999999999998E-3</v>
      </c>
      <c r="AB95" s="205">
        <f>'2.8ДЭС'!M199</f>
        <v>5.7999999999999996E-3</v>
      </c>
      <c r="AC95" s="448">
        <f>'2.8ДЭС'!N199</f>
        <v>2.5999999999999999E-3</v>
      </c>
      <c r="AD95" s="203">
        <f>'2.8ДЭС'!M216</f>
        <v>5.7999999999999996E-3</v>
      </c>
      <c r="AE95" s="204">
        <f>'2.8ДЭС'!N216</f>
        <v>4.4999999999999997E-3</v>
      </c>
      <c r="AF95" s="205">
        <f>'2.8ДЭС'!M233</f>
        <v>5.7999999999999996E-3</v>
      </c>
      <c r="AG95" s="204">
        <f>'2.8ДЭС'!N233</f>
        <v>4.4999999999999997E-3</v>
      </c>
      <c r="AH95" s="205"/>
      <c r="AI95" s="205"/>
    </row>
    <row r="96" spans="2:35" s="179" customFormat="1" ht="20.100000000000001" customHeight="1" x14ac:dyDescent="0.25">
      <c r="B96" s="762"/>
      <c r="C96" s="180"/>
      <c r="D96" s="199" t="str">
        <f>'2.8ДЭС'!K30</f>
        <v>Сернистый ангидрид</v>
      </c>
      <c r="E96" s="200" t="str">
        <f>'2.8ДЭС'!L30</f>
        <v>0330</v>
      </c>
      <c r="F96" s="201">
        <f>'2.8ДЭС'!M30</f>
        <v>9.1999999999999998E-3</v>
      </c>
      <c r="G96" s="202">
        <f>'2.8ДЭС'!N30</f>
        <v>3.8999999999999998E-3</v>
      </c>
      <c r="H96" s="201">
        <f>'2.8ДЭС'!M47</f>
        <v>9.1999999999999998E-3</v>
      </c>
      <c r="I96" s="202">
        <f>'2.8ДЭС'!N47</f>
        <v>6.7000000000000002E-3</v>
      </c>
      <c r="J96" s="201">
        <f>'2.8ДЭС'!M64</f>
        <v>9.1999999999999998E-3</v>
      </c>
      <c r="K96" s="202">
        <f>'2.8ДЭС'!N64</f>
        <v>2.8E-3</v>
      </c>
      <c r="L96" s="205"/>
      <c r="M96" s="204"/>
      <c r="N96" s="201">
        <f>'2.8ДЭС'!M81</f>
        <v>9.1999999999999998E-3</v>
      </c>
      <c r="O96" s="202">
        <f>'2.8ДЭС'!N81</f>
        <v>5.5999999999999999E-3</v>
      </c>
      <c r="P96" s="205">
        <f>'2.8ДЭС'!M98</f>
        <v>9.1999999999999998E-3</v>
      </c>
      <c r="Q96" s="204">
        <f>'2.8ДЭС'!N98</f>
        <v>4.4999999999999997E-3</v>
      </c>
      <c r="R96" s="205">
        <f>'2.8ДЭС'!M115</f>
        <v>9.1999999999999998E-3</v>
      </c>
      <c r="S96" s="204">
        <f>'2.8ДЭС'!N115</f>
        <v>5.5999999999999999E-3</v>
      </c>
      <c r="T96" s="203">
        <f>'2.8ДЭС'!M132</f>
        <v>9.1999999999999998E-3</v>
      </c>
      <c r="U96" s="204">
        <f>'2.8ДЭС'!N132</f>
        <v>5.5999999999999999E-3</v>
      </c>
      <c r="V96" s="203">
        <f>'2.8ДЭС'!M149</f>
        <v>9.1999999999999998E-3</v>
      </c>
      <c r="W96" s="206">
        <f>'2.8ДЭС'!N149</f>
        <v>4.4999999999999997E-3</v>
      </c>
      <c r="X96" s="205">
        <f>'2.8ДЭС'!M166</f>
        <v>9.1999999999999998E-3</v>
      </c>
      <c r="Y96" s="204">
        <f>'2.8ДЭС'!N166</f>
        <v>6.7000000000000002E-3</v>
      </c>
      <c r="Z96" s="611">
        <f>'2.8ДЭС'!M183</f>
        <v>9.1999999999999998E-3</v>
      </c>
      <c r="AA96" s="393">
        <f>'2.8ДЭС'!N183</f>
        <v>5.0000000000000001E-3</v>
      </c>
      <c r="AB96" s="205">
        <f>'2.8ДЭС'!M200</f>
        <v>9.1999999999999998E-3</v>
      </c>
      <c r="AC96" s="448">
        <f>'2.8ДЭС'!N200</f>
        <v>3.8999999999999998E-3</v>
      </c>
      <c r="AD96" s="203">
        <f>'2.8ДЭС'!M217</f>
        <v>9.1999999999999998E-3</v>
      </c>
      <c r="AE96" s="204">
        <f>'2.8ДЭС'!N217</f>
        <v>6.7000000000000002E-3</v>
      </c>
      <c r="AF96" s="205">
        <f>'2.8ДЭС'!M234</f>
        <v>9.1999999999999998E-3</v>
      </c>
      <c r="AG96" s="204">
        <f>'2.8ДЭС'!N234</f>
        <v>6.7000000000000002E-3</v>
      </c>
      <c r="AH96" s="205"/>
      <c r="AI96" s="205"/>
    </row>
    <row r="97" spans="2:35" s="179" customFormat="1" ht="20.100000000000001" customHeight="1" x14ac:dyDescent="0.25">
      <c r="B97" s="762"/>
      <c r="C97" s="180"/>
      <c r="D97" s="199" t="str">
        <f>'2.8ДЭС'!K31</f>
        <v>Формальдегид</v>
      </c>
      <c r="E97" s="200" t="str">
        <f>'2.8ДЭС'!L31</f>
        <v>1325</v>
      </c>
      <c r="F97" s="201">
        <f>'2.8ДЭС'!M31</f>
        <v>1.2999999999999999E-3</v>
      </c>
      <c r="G97" s="202">
        <f>'2.8ДЭС'!N31</f>
        <v>5.1999999999999995E-4</v>
      </c>
      <c r="H97" s="201">
        <f>'2.8ДЭС'!M48</f>
        <v>1.2999999999999999E-3</v>
      </c>
      <c r="I97" s="202">
        <f>'2.8ДЭС'!N48</f>
        <v>8.9999999999999998E-4</v>
      </c>
      <c r="J97" s="201">
        <f>'2.8ДЭС'!M65</f>
        <v>1.2999999999999999E-3</v>
      </c>
      <c r="K97" s="202">
        <f>'2.8ДЭС'!N65</f>
        <v>3.6999999999999999E-4</v>
      </c>
      <c r="L97" s="205"/>
      <c r="M97" s="204"/>
      <c r="N97" s="201">
        <f>'2.8ДЭС'!M82</f>
        <v>1.2999999999999999E-3</v>
      </c>
      <c r="O97" s="202">
        <f>'2.8ДЭС'!N82</f>
        <v>7.5000000000000002E-4</v>
      </c>
      <c r="P97" s="205">
        <f>'2.8ДЭС'!M99</f>
        <v>1.2999999999999999E-3</v>
      </c>
      <c r="Q97" s="204">
        <f>'2.8ДЭС'!N99</f>
        <v>5.9999999999999995E-4</v>
      </c>
      <c r="R97" s="205">
        <f>'2.8ДЭС'!M116</f>
        <v>1.2999999999999999E-3</v>
      </c>
      <c r="S97" s="204">
        <f>'2.8ДЭС'!N116</f>
        <v>7.5000000000000002E-4</v>
      </c>
      <c r="T97" s="203">
        <f>'2.8ДЭС'!M133</f>
        <v>1.2999999999999999E-3</v>
      </c>
      <c r="U97" s="204">
        <f>'2.8ДЭС'!N133</f>
        <v>7.5000000000000002E-4</v>
      </c>
      <c r="V97" s="203">
        <f>'2.8ДЭС'!M150</f>
        <v>1.2999999999999999E-3</v>
      </c>
      <c r="W97" s="206">
        <f>'2.8ДЭС'!N150</f>
        <v>5.9999999999999995E-4</v>
      </c>
      <c r="X97" s="205">
        <f>'2.8ДЭС'!M167</f>
        <v>1.2999999999999999E-3</v>
      </c>
      <c r="Y97" s="204">
        <f>'2.8ДЭС'!N167</f>
        <v>8.8999999999999995E-4</v>
      </c>
      <c r="Z97" s="611">
        <f>'2.8ДЭС'!M184</f>
        <v>1.2999999999999999E-3</v>
      </c>
      <c r="AA97" s="393">
        <f>'2.8ДЭС'!N184</f>
        <v>6.7000000000000002E-4</v>
      </c>
      <c r="AB97" s="205">
        <f>'2.8ДЭС'!M201</f>
        <v>1.2999999999999999E-3</v>
      </c>
      <c r="AC97" s="448">
        <f>'2.8ДЭС'!N201</f>
        <v>5.1999999999999995E-4</v>
      </c>
      <c r="AD97" s="203">
        <f>'2.8ДЭС'!M218</f>
        <v>1.2999999999999999E-3</v>
      </c>
      <c r="AE97" s="204">
        <f>'2.8ДЭС'!N218</f>
        <v>8.8999999999999995E-4</v>
      </c>
      <c r="AF97" s="205">
        <f>'2.8ДЭС'!M235</f>
        <v>1.2999999999999999E-3</v>
      </c>
      <c r="AG97" s="204">
        <f>'2.8ДЭС'!N235</f>
        <v>8.8999999999999995E-4</v>
      </c>
      <c r="AH97" s="205"/>
      <c r="AI97" s="205"/>
    </row>
    <row r="98" spans="2:35" s="179" customFormat="1" ht="20.100000000000001" customHeight="1" x14ac:dyDescent="0.25">
      <c r="B98" s="761"/>
      <c r="C98" s="180"/>
      <c r="D98" s="208" t="str">
        <f>'2.8ДЭС'!K32</f>
        <v>Бенз(а)пирен</v>
      </c>
      <c r="E98" s="209" t="str">
        <f>'2.8ДЭС'!L32</f>
        <v>0703</v>
      </c>
      <c r="F98" s="210">
        <f>'2.8ДЭС'!M32</f>
        <v>9.9999999999999995E-8</v>
      </c>
      <c r="G98" s="211">
        <f>'2.8ДЭС'!N32</f>
        <v>4.9999999999999998E-8</v>
      </c>
      <c r="H98" s="210">
        <f>'2.8ДЭС'!M49</f>
        <v>9.9999999999999995E-8</v>
      </c>
      <c r="I98" s="211">
        <f>'2.8ДЭС'!N49</f>
        <v>9.9999999999999995E-8</v>
      </c>
      <c r="J98" s="210">
        <f>'2.8ДЭС'!M66</f>
        <v>9.9999999999999995E-8</v>
      </c>
      <c r="K98" s="211">
        <f>'2.8ДЭС'!N66</f>
        <v>2.9999999999999997E-8</v>
      </c>
      <c r="L98" s="214"/>
      <c r="M98" s="213"/>
      <c r="N98" s="210">
        <f>'2.8ДЭС'!M83</f>
        <v>9.9999999999999995E-8</v>
      </c>
      <c r="O98" s="211">
        <f>'2.8ДЭС'!N83</f>
        <v>9.9999999999999995E-8</v>
      </c>
      <c r="P98" s="214">
        <f>'2.8ДЭС'!M100</f>
        <v>9.9999999999999995E-8</v>
      </c>
      <c r="Q98" s="213">
        <f>'2.8ДЭС'!N100</f>
        <v>9.9999999999999995E-8</v>
      </c>
      <c r="R98" s="214">
        <f>'2.8ДЭС'!M117</f>
        <v>9.9999999999999995E-8</v>
      </c>
      <c r="S98" s="213">
        <f>'2.8ДЭС'!N117</f>
        <v>9.9999999999999995E-8</v>
      </c>
      <c r="T98" s="212">
        <f>'2.8ДЭС'!M134</f>
        <v>9.9999999999999995E-8</v>
      </c>
      <c r="U98" s="213">
        <f>'2.8ДЭС'!N134</f>
        <v>9.9999999999999995E-8</v>
      </c>
      <c r="V98" s="212">
        <f>'2.8ДЭС'!M151</f>
        <v>9.9999999999999995E-8</v>
      </c>
      <c r="W98" s="215">
        <f>'2.8ДЭС'!N151</f>
        <v>9.9999999999999995E-8</v>
      </c>
      <c r="X98" s="214">
        <f>'2.8ДЭС'!M168</f>
        <v>9.9999999999999995E-8</v>
      </c>
      <c r="Y98" s="213">
        <f>'2.8ДЭС'!N168</f>
        <v>9.9999999999999995E-8</v>
      </c>
      <c r="Z98" s="612">
        <f>'2.8ДЭС'!M185</f>
        <v>9.9999999999999995E-8</v>
      </c>
      <c r="AA98" s="396">
        <f>'2.8ДЭС'!N185</f>
        <v>9.9999999999999995E-8</v>
      </c>
      <c r="AB98" s="214">
        <f>'2.8ДЭС'!M202</f>
        <v>9.9999999999999995E-8</v>
      </c>
      <c r="AC98" s="449">
        <f>'2.8ДЭС'!N202</f>
        <v>4.9999999999999998E-8</v>
      </c>
      <c r="AD98" s="212">
        <f>'2.8ДЭС'!M219</f>
        <v>9.9999999999999995E-8</v>
      </c>
      <c r="AE98" s="213">
        <f>'2.8ДЭС'!N219</f>
        <v>9.9999999999999995E-8</v>
      </c>
      <c r="AF98" s="214">
        <f>'2.8ДЭС'!M236</f>
        <v>9.9999999999999995E-8</v>
      </c>
      <c r="AG98" s="213">
        <f>'2.8ДЭС'!N236</f>
        <v>9.9999999999999995E-8</v>
      </c>
      <c r="AH98" s="214"/>
      <c r="AI98" s="214"/>
    </row>
    <row r="99" spans="2:35" s="179" customFormat="1" ht="20.100000000000001" customHeight="1" x14ac:dyDescent="0.25">
      <c r="B99" s="760" t="s">
        <v>479</v>
      </c>
      <c r="C99" s="172">
        <v>2002</v>
      </c>
      <c r="D99" s="276" t="str">
        <f>'2.8ДЭС'!K33</f>
        <v>Углерода оксид</v>
      </c>
      <c r="E99" s="219" t="str">
        <f>'2.8ДЭС'!L33</f>
        <v>0337</v>
      </c>
      <c r="F99" s="220">
        <f>'2.8ДЭС'!M33</f>
        <v>0.1</v>
      </c>
      <c r="G99" s="221">
        <f>'2.8ДЭС'!N33</f>
        <v>4.3499999999999997E-2</v>
      </c>
      <c r="H99" s="220">
        <f>'2.8ДЭС'!M50</f>
        <v>0.1</v>
      </c>
      <c r="I99" s="221">
        <f>'2.8ДЭС'!N50</f>
        <v>7.4700000000000003E-2</v>
      </c>
      <c r="J99" s="220">
        <f>'2.8ДЭС'!M67</f>
        <v>0.1</v>
      </c>
      <c r="K99" s="221">
        <f>'2.8ДЭС'!N67</f>
        <v>3.1099999999999999E-2</v>
      </c>
      <c r="L99" s="224"/>
      <c r="M99" s="223"/>
      <c r="N99" s="220">
        <f>'2.8ДЭС'!M84</f>
        <v>0.1</v>
      </c>
      <c r="O99" s="221">
        <f>'2.8ДЭС'!N84</f>
        <v>6.2300000000000001E-2</v>
      </c>
      <c r="P99" s="224">
        <f>'2.8ДЭС'!M101</f>
        <v>0.1</v>
      </c>
      <c r="Q99" s="223">
        <f>'2.8ДЭС'!N101</f>
        <v>4.9799999999999997E-2</v>
      </c>
      <c r="R99" s="224">
        <f>'2.8ДЭС'!M118</f>
        <v>0.1</v>
      </c>
      <c r="S99" s="223">
        <f>'2.8ДЭС'!N118</f>
        <v>6.2300000000000001E-2</v>
      </c>
      <c r="T99" s="222">
        <f>'2.8ДЭС'!M135</f>
        <v>0.1</v>
      </c>
      <c r="U99" s="223">
        <f>'2.8ДЭС'!N135</f>
        <v>6.2300000000000001E-2</v>
      </c>
      <c r="V99" s="222">
        <f>'2.8ДЭС'!M152</f>
        <v>0.1</v>
      </c>
      <c r="W99" s="226">
        <f>'2.8ДЭС'!N152</f>
        <v>4.9799999999999997E-2</v>
      </c>
      <c r="X99" s="224">
        <f>'2.8ДЭС'!M169</f>
        <v>0.1</v>
      </c>
      <c r="Y99" s="223">
        <f>'2.8ДЭС'!N169</f>
        <v>7.4700000000000003E-2</v>
      </c>
      <c r="Z99" s="611">
        <f>'2.8ДЭС'!M186</f>
        <v>0.1</v>
      </c>
      <c r="AA99" s="393">
        <f>'2.8ДЭС'!N186</f>
        <v>5.6099999999999997E-2</v>
      </c>
      <c r="AB99" s="205">
        <f>'2.8ДЭС'!M203</f>
        <v>0.1</v>
      </c>
      <c r="AC99" s="448">
        <f>'2.8ДЭС'!N203</f>
        <v>4.36E-2</v>
      </c>
      <c r="AD99" s="203">
        <f>'2.8ДЭС'!M220</f>
        <v>0.1</v>
      </c>
      <c r="AE99" s="204">
        <f>'2.8ДЭС'!N220</f>
        <v>7.4700000000000003E-2</v>
      </c>
      <c r="AF99" s="205">
        <f>'2.8ДЭС'!M237</f>
        <v>0.1</v>
      </c>
      <c r="AG99" s="204">
        <f>'2.8ДЭС'!N237</f>
        <v>7.4700000000000003E-2</v>
      </c>
      <c r="AH99" s="222">
        <f>'2.8ДЭС'!M246</f>
        <v>0.1</v>
      </c>
      <c r="AI99" s="222">
        <f>'2.8ДЭС'!N246</f>
        <v>3.1099999999999999E-2</v>
      </c>
    </row>
    <row r="100" spans="2:35" ht="20.100000000000001" customHeight="1" x14ac:dyDescent="0.25">
      <c r="B100" s="762"/>
      <c r="C100" s="180"/>
      <c r="D100" s="199" t="str">
        <f>'2.8ДЭС'!K34</f>
        <v>Азота диоксид</v>
      </c>
      <c r="E100" s="200" t="str">
        <f>'2.8ДЭС'!L34</f>
        <v>0301</v>
      </c>
      <c r="F100" s="201">
        <f>'2.8ДЭС'!M34</f>
        <v>0.1144</v>
      </c>
      <c r="G100" s="202">
        <f>'2.8ДЭС'!N34</f>
        <v>4.99E-2</v>
      </c>
      <c r="H100" s="201">
        <f>'2.8ДЭС'!M51</f>
        <v>0.1144</v>
      </c>
      <c r="I100" s="202">
        <f>'2.8ДЭС'!N51</f>
        <v>8.5699999999999998E-2</v>
      </c>
      <c r="J100" s="201">
        <f>'2.8ДЭС'!M68</f>
        <v>0.1144</v>
      </c>
      <c r="K100" s="202">
        <f>'2.8ДЭС'!N68</f>
        <v>3.5700000000000003E-2</v>
      </c>
      <c r="L100" s="197"/>
      <c r="M100" s="198"/>
      <c r="N100" s="201">
        <f>'2.8ДЭС'!M85</f>
        <v>0.1144</v>
      </c>
      <c r="O100" s="202">
        <f>'2.8ДЭС'!N85</f>
        <v>7.1400000000000005E-2</v>
      </c>
      <c r="P100" s="205">
        <f>'2.8ДЭС'!M102</f>
        <v>0.1144</v>
      </c>
      <c r="Q100" s="204">
        <f>'2.8ДЭС'!N102</f>
        <v>5.7099999999999998E-2</v>
      </c>
      <c r="R100" s="205">
        <f>'2.8ДЭС'!M119</f>
        <v>0.1144</v>
      </c>
      <c r="S100" s="204">
        <f>'2.8ДЭС'!N119</f>
        <v>7.1400000000000005E-2</v>
      </c>
      <c r="T100" s="203">
        <f>'2.8ДЭС'!M136</f>
        <v>0.1144</v>
      </c>
      <c r="U100" s="204">
        <f>'2.8ДЭС'!N136</f>
        <v>7.1400000000000005E-2</v>
      </c>
      <c r="V100" s="203">
        <f>'2.8ДЭС'!M153</f>
        <v>0.1144</v>
      </c>
      <c r="W100" s="206">
        <f>'2.8ДЭС'!N153</f>
        <v>5.7099999999999998E-2</v>
      </c>
      <c r="X100" s="205">
        <f>'2.8ДЭС'!M170</f>
        <v>0.1144</v>
      </c>
      <c r="Y100" s="204">
        <f>'2.8ДЭС'!N170</f>
        <v>8.5699999999999998E-2</v>
      </c>
      <c r="Z100" s="611">
        <f>'2.8ДЭС'!M187</f>
        <v>0.1144</v>
      </c>
      <c r="AA100" s="393">
        <f>'2.8ДЭС'!N187</f>
        <v>6.4299999999999996E-2</v>
      </c>
      <c r="AB100" s="205">
        <f>'2.8ДЭС'!M204</f>
        <v>0.1144</v>
      </c>
      <c r="AC100" s="448">
        <f>'2.8ДЭС'!N204</f>
        <v>0.05</v>
      </c>
      <c r="AD100" s="203">
        <f>'2.8ДЭС'!M221</f>
        <v>0.1144</v>
      </c>
      <c r="AE100" s="204">
        <f>'2.8ДЭС'!N221</f>
        <v>8.5699999999999998E-2</v>
      </c>
      <c r="AF100" s="205">
        <f>'2.8ДЭС'!M238</f>
        <v>0.1144</v>
      </c>
      <c r="AG100" s="204">
        <f>'2.8ДЭС'!N238</f>
        <v>8.5699999999999998E-2</v>
      </c>
      <c r="AH100" s="203">
        <f>'2.8ДЭС'!M247</f>
        <v>0.1144</v>
      </c>
      <c r="AI100" s="203">
        <f>'2.8ДЭС'!N247</f>
        <v>3.5700000000000003E-2</v>
      </c>
    </row>
    <row r="101" spans="2:35" ht="20.100000000000001" customHeight="1" x14ac:dyDescent="0.25">
      <c r="B101" s="762"/>
      <c r="C101" s="180"/>
      <c r="D101" s="199" t="str">
        <f>'2.8ДЭС'!K35</f>
        <v>Азота оксид</v>
      </c>
      <c r="E101" s="200" t="str">
        <f>'2.8ДЭС'!L35</f>
        <v>0304</v>
      </c>
      <c r="F101" s="201">
        <f>'2.8ДЭС'!M35</f>
        <v>1.8599999999999998E-2</v>
      </c>
      <c r="G101" s="202">
        <f>'2.8ДЭС'!N35</f>
        <v>8.0999999999999996E-3</v>
      </c>
      <c r="H101" s="201">
        <f>'2.8ДЭС'!M52</f>
        <v>1.8599999999999998E-2</v>
      </c>
      <c r="I101" s="202">
        <f>'2.8ДЭС'!N52</f>
        <v>1.3899999999999999E-2</v>
      </c>
      <c r="J101" s="201">
        <f>'2.8ДЭС'!M69</f>
        <v>1.8599999999999998E-2</v>
      </c>
      <c r="K101" s="202">
        <f>'2.8ДЭС'!N69</f>
        <v>5.7999999999999996E-3</v>
      </c>
      <c r="L101" s="197"/>
      <c r="M101" s="198"/>
      <c r="N101" s="201">
        <f>'2.8ДЭС'!M86</f>
        <v>1.8599999999999998E-2</v>
      </c>
      <c r="O101" s="202">
        <f>'2.8ДЭС'!N86</f>
        <v>1.1599999999999999E-2</v>
      </c>
      <c r="P101" s="205">
        <f>'2.8ДЭС'!M103</f>
        <v>1.8599999999999998E-2</v>
      </c>
      <c r="Q101" s="204">
        <f>'2.8ДЭС'!N103</f>
        <v>9.2999999999999992E-3</v>
      </c>
      <c r="R101" s="205">
        <f>'2.8ДЭС'!M120</f>
        <v>1.8599999999999998E-2</v>
      </c>
      <c r="S101" s="204">
        <f>'2.8ДЭС'!N120</f>
        <v>1.1599999999999999E-2</v>
      </c>
      <c r="T101" s="203">
        <f>'2.8ДЭС'!M137</f>
        <v>1.8599999999999998E-2</v>
      </c>
      <c r="U101" s="204">
        <f>'2.8ДЭС'!N137</f>
        <v>1.1599999999999999E-2</v>
      </c>
      <c r="V101" s="203">
        <f>'2.8ДЭС'!M154</f>
        <v>1.8599999999999998E-2</v>
      </c>
      <c r="W101" s="206">
        <f>'2.8ДЭС'!N154</f>
        <v>9.2999999999999992E-3</v>
      </c>
      <c r="X101" s="205">
        <f>'2.8ДЭС'!M171</f>
        <v>1.8599999999999998E-2</v>
      </c>
      <c r="Y101" s="204">
        <f>'2.8ДЭС'!N171</f>
        <v>1.3899999999999999E-2</v>
      </c>
      <c r="Z101" s="611">
        <f>'2.8ДЭС'!M188</f>
        <v>1.8599999999999998E-2</v>
      </c>
      <c r="AA101" s="393">
        <f>'2.8ДЭС'!N188</f>
        <v>1.04E-2</v>
      </c>
      <c r="AB101" s="205">
        <f>'2.8ДЭС'!M205</f>
        <v>1.8599999999999998E-2</v>
      </c>
      <c r="AC101" s="448">
        <f>'2.8ДЭС'!N205</f>
        <v>8.0999999999999996E-3</v>
      </c>
      <c r="AD101" s="203">
        <f>'2.8ДЭС'!M222</f>
        <v>1.8599999999999998E-2</v>
      </c>
      <c r="AE101" s="204">
        <f>'2.8ДЭС'!N222</f>
        <v>1.3899999999999999E-2</v>
      </c>
      <c r="AF101" s="205">
        <f>'2.8ДЭС'!M239</f>
        <v>1.8599999999999998E-2</v>
      </c>
      <c r="AG101" s="204">
        <f>'2.8ДЭС'!N239</f>
        <v>1.3899999999999999E-2</v>
      </c>
      <c r="AH101" s="203">
        <f>'2.8ДЭС'!M248</f>
        <v>1.8599999999999998E-2</v>
      </c>
      <c r="AI101" s="203">
        <f>'2.8ДЭС'!N248</f>
        <v>5.7999999999999996E-3</v>
      </c>
    </row>
    <row r="102" spans="2:35" ht="20.100000000000001" customHeight="1" x14ac:dyDescent="0.25">
      <c r="B102" s="762"/>
      <c r="C102" s="180"/>
      <c r="D102" s="199" t="str">
        <f>'2.8ДЭС'!K36</f>
        <v>Углеводороды</v>
      </c>
      <c r="E102" s="200">
        <f>'2.8ДЭС'!L36</f>
        <v>2754</v>
      </c>
      <c r="F102" s="201">
        <f>'2.8ДЭС'!M36</f>
        <v>0.05</v>
      </c>
      <c r="G102" s="202">
        <f>'2.8ДЭС'!N36</f>
        <v>2.18E-2</v>
      </c>
      <c r="H102" s="201">
        <f>'2.8ДЭС'!M53</f>
        <v>0.05</v>
      </c>
      <c r="I102" s="202">
        <f>'2.8ДЭС'!N53</f>
        <v>3.7400000000000003E-2</v>
      </c>
      <c r="J102" s="201">
        <f>'2.8ДЭС'!M70</f>
        <v>0.05</v>
      </c>
      <c r="K102" s="202">
        <f>'2.8ДЭС'!N70</f>
        <v>1.5599999999999999E-2</v>
      </c>
      <c r="L102" s="197"/>
      <c r="M102" s="198"/>
      <c r="N102" s="201">
        <f>'2.8ДЭС'!M87</f>
        <v>0.05</v>
      </c>
      <c r="O102" s="202">
        <f>'2.8ДЭС'!N87</f>
        <v>3.1099999999999999E-2</v>
      </c>
      <c r="P102" s="205">
        <f>'2.8ДЭС'!M104</f>
        <v>0.05</v>
      </c>
      <c r="Q102" s="204">
        <f>'2.8ДЭС'!N104</f>
        <v>2.4899999999999999E-2</v>
      </c>
      <c r="R102" s="205">
        <f>'2.8ДЭС'!M121</f>
        <v>0.05</v>
      </c>
      <c r="S102" s="204">
        <f>'2.8ДЭС'!N121</f>
        <v>3.1099999999999999E-2</v>
      </c>
      <c r="T102" s="203">
        <f>'2.8ДЭС'!M138</f>
        <v>0.05</v>
      </c>
      <c r="U102" s="204">
        <f>'2.8ДЭС'!N138</f>
        <v>3.1099999999999999E-2</v>
      </c>
      <c r="V102" s="203">
        <f>'2.8ДЭС'!M155</f>
        <v>0.05</v>
      </c>
      <c r="W102" s="206">
        <f>'2.8ДЭС'!N155</f>
        <v>2.4899999999999999E-2</v>
      </c>
      <c r="X102" s="205">
        <f>'2.8ДЭС'!M172</f>
        <v>0.05</v>
      </c>
      <c r="Y102" s="204">
        <f>'2.8ДЭС'!N172</f>
        <v>3.7400000000000003E-2</v>
      </c>
      <c r="Z102" s="611">
        <f>'2.8ДЭС'!M189</f>
        <v>0.05</v>
      </c>
      <c r="AA102" s="393">
        <f>'2.8ДЭС'!N189</f>
        <v>2.8000000000000001E-2</v>
      </c>
      <c r="AB102" s="205">
        <f>'2.8ДЭС'!M206</f>
        <v>0.05</v>
      </c>
      <c r="AC102" s="448">
        <f>'2.8ДЭС'!N206</f>
        <v>2.18E-2</v>
      </c>
      <c r="AD102" s="203">
        <f>'2.8ДЭС'!M223</f>
        <v>0.05</v>
      </c>
      <c r="AE102" s="204">
        <f>'2.8ДЭС'!N223</f>
        <v>3.7400000000000003E-2</v>
      </c>
      <c r="AF102" s="205">
        <f>'2.8ДЭС'!M240</f>
        <v>0.05</v>
      </c>
      <c r="AG102" s="204">
        <f>'2.8ДЭС'!N240</f>
        <v>3.7400000000000003E-2</v>
      </c>
      <c r="AH102" s="203">
        <f>'2.8ДЭС'!M249</f>
        <v>0.05</v>
      </c>
      <c r="AI102" s="203">
        <f>'2.8ДЭС'!N249</f>
        <v>1.5599999999999999E-2</v>
      </c>
    </row>
    <row r="103" spans="2:35" ht="20.100000000000001" customHeight="1" x14ac:dyDescent="0.25">
      <c r="B103" s="762"/>
      <c r="C103" s="180"/>
      <c r="D103" s="199" t="str">
        <f>'2.8ДЭС'!K37</f>
        <v>Углерод черный</v>
      </c>
      <c r="E103" s="200" t="str">
        <f>'2.8ДЭС'!L37</f>
        <v>0328</v>
      </c>
      <c r="F103" s="201">
        <f>'2.8ДЭС'!M37</f>
        <v>9.7000000000000003E-3</v>
      </c>
      <c r="G103" s="202">
        <f>'2.8ДЭС'!N37</f>
        <v>4.4000000000000003E-3</v>
      </c>
      <c r="H103" s="201">
        <f>'2.8ДЭС'!M54</f>
        <v>9.7000000000000003E-3</v>
      </c>
      <c r="I103" s="202">
        <f>'2.8ДЭС'!N54</f>
        <v>7.4999999999999997E-3</v>
      </c>
      <c r="J103" s="201">
        <f>'2.8ДЭС'!M71</f>
        <v>9.7000000000000003E-3</v>
      </c>
      <c r="K103" s="202">
        <f>'2.8ДЭС'!N71</f>
        <v>3.0999999999999999E-3</v>
      </c>
      <c r="L103" s="197"/>
      <c r="M103" s="198"/>
      <c r="N103" s="201">
        <f>'2.8ДЭС'!M88</f>
        <v>9.7000000000000003E-3</v>
      </c>
      <c r="O103" s="202">
        <f>'2.8ДЭС'!N88</f>
        <v>6.1999999999999998E-3</v>
      </c>
      <c r="P103" s="205">
        <f>'2.8ДЭС'!M105</f>
        <v>9.7000000000000003E-3</v>
      </c>
      <c r="Q103" s="204">
        <f>'2.8ДЭС'!N105</f>
        <v>5.0000000000000001E-3</v>
      </c>
      <c r="R103" s="205">
        <f>'2.8ДЭС'!M122</f>
        <v>9.7000000000000003E-3</v>
      </c>
      <c r="S103" s="204">
        <f>'2.8ДЭС'!N122</f>
        <v>6.1999999999999998E-3</v>
      </c>
      <c r="T103" s="203">
        <f>'2.8ДЭС'!M139</f>
        <v>9.7000000000000003E-3</v>
      </c>
      <c r="U103" s="204">
        <f>'2.8ДЭС'!N139</f>
        <v>6.1999999999999998E-3</v>
      </c>
      <c r="V103" s="203">
        <f>'2.8ДЭС'!M156</f>
        <v>9.7000000000000003E-3</v>
      </c>
      <c r="W103" s="206">
        <f>'2.8ДЭС'!N156</f>
        <v>5.0000000000000001E-3</v>
      </c>
      <c r="X103" s="205">
        <f>'2.8ДЭС'!M173</f>
        <v>9.7000000000000003E-3</v>
      </c>
      <c r="Y103" s="204">
        <f>'2.8ДЭС'!N173</f>
        <v>7.4999999999999997E-3</v>
      </c>
      <c r="Z103" s="611">
        <f>'2.8ДЭС'!M190</f>
        <v>9.7000000000000003E-3</v>
      </c>
      <c r="AA103" s="393">
        <f>'2.8ДЭС'!N190</f>
        <v>5.5999999999999999E-3</v>
      </c>
      <c r="AB103" s="205">
        <f>'2.8ДЭС'!M207</f>
        <v>9.7000000000000003E-3</v>
      </c>
      <c r="AC103" s="448">
        <f>'2.8ДЭС'!N207</f>
        <v>4.4000000000000003E-3</v>
      </c>
      <c r="AD103" s="203">
        <f>'2.8ДЭС'!M224</f>
        <v>9.7000000000000003E-3</v>
      </c>
      <c r="AE103" s="204">
        <f>'2.8ДЭС'!N224</f>
        <v>7.4999999999999997E-3</v>
      </c>
      <c r="AF103" s="205">
        <f>'2.8ДЭС'!M241</f>
        <v>9.7000000000000003E-3</v>
      </c>
      <c r="AG103" s="204">
        <f>'2.8ДЭС'!N241</f>
        <v>7.4999999999999997E-3</v>
      </c>
      <c r="AH103" s="203">
        <f>'2.8ДЭС'!M250</f>
        <v>9.7000000000000003E-3</v>
      </c>
      <c r="AI103" s="203">
        <f>'2.8ДЭС'!N250</f>
        <v>3.0999999999999999E-3</v>
      </c>
    </row>
    <row r="104" spans="2:35" ht="20.100000000000001" customHeight="1" x14ac:dyDescent="0.25">
      <c r="B104" s="762"/>
      <c r="C104" s="149"/>
      <c r="D104" s="199" t="str">
        <f>'2.8ДЭС'!K38</f>
        <v>Сернистый ангидрид</v>
      </c>
      <c r="E104" s="200" t="str">
        <f>'2.8ДЭС'!L38</f>
        <v>0330</v>
      </c>
      <c r="F104" s="201">
        <f>'2.8ДЭС'!M38</f>
        <v>1.5299999999999999E-2</v>
      </c>
      <c r="G104" s="202">
        <f>'2.8ДЭС'!N38</f>
        <v>6.4999999999999997E-3</v>
      </c>
      <c r="H104" s="201">
        <f>'2.8ДЭС'!M55</f>
        <v>1.5299999999999999E-2</v>
      </c>
      <c r="I104" s="202">
        <f>'2.8ДЭС'!N55</f>
        <v>1.12E-2</v>
      </c>
      <c r="J104" s="201">
        <f>'2.8ДЭС'!M72</f>
        <v>1.5299999999999999E-2</v>
      </c>
      <c r="K104" s="202">
        <f>'2.8ДЭС'!N72</f>
        <v>4.7000000000000002E-3</v>
      </c>
      <c r="L104" s="197"/>
      <c r="M104" s="198"/>
      <c r="N104" s="201">
        <f>'2.8ДЭС'!M89</f>
        <v>1.5299999999999999E-2</v>
      </c>
      <c r="O104" s="202">
        <f>'2.8ДЭС'!N89</f>
        <v>9.2999999999999992E-3</v>
      </c>
      <c r="P104" s="205">
        <f>'2.8ДЭС'!M106</f>
        <v>1.5299999999999999E-2</v>
      </c>
      <c r="Q104" s="204">
        <f>'2.8ДЭС'!N106</f>
        <v>7.4999999999999997E-3</v>
      </c>
      <c r="R104" s="205">
        <f>'2.8ДЭС'!M123</f>
        <v>1.5299999999999999E-2</v>
      </c>
      <c r="S104" s="204">
        <f>'2.8ДЭС'!N123</f>
        <v>9.2999999999999992E-3</v>
      </c>
      <c r="T104" s="203">
        <f>'2.8ДЭС'!M140</f>
        <v>1.5299999999999999E-2</v>
      </c>
      <c r="U104" s="204">
        <f>'2.8ДЭС'!N140</f>
        <v>9.2999999999999992E-3</v>
      </c>
      <c r="V104" s="203">
        <f>'2.8ДЭС'!M157</f>
        <v>1.5299999999999999E-2</v>
      </c>
      <c r="W104" s="206">
        <f>'2.8ДЭС'!N157</f>
        <v>7.4999999999999997E-3</v>
      </c>
      <c r="X104" s="205">
        <f>'2.8ДЭС'!M174</f>
        <v>1.5299999999999999E-2</v>
      </c>
      <c r="Y104" s="204">
        <f>'2.8ДЭС'!N174</f>
        <v>1.12E-2</v>
      </c>
      <c r="Z104" s="611">
        <f>'2.8ДЭС'!M191</f>
        <v>1.5299999999999999E-2</v>
      </c>
      <c r="AA104" s="393">
        <f>'2.8ДЭС'!N191</f>
        <v>8.3999999999999995E-3</v>
      </c>
      <c r="AB104" s="205">
        <f>'2.8ДЭС'!M208</f>
        <v>1.5299999999999999E-2</v>
      </c>
      <c r="AC104" s="448">
        <f>'2.8ДЭС'!N208</f>
        <v>6.4999999999999997E-3</v>
      </c>
      <c r="AD104" s="203">
        <f>'2.8ДЭС'!M225</f>
        <v>1.5299999999999999E-2</v>
      </c>
      <c r="AE104" s="204">
        <f>'2.8ДЭС'!N225</f>
        <v>1.12E-2</v>
      </c>
      <c r="AF104" s="205">
        <f>'2.8ДЭС'!M242</f>
        <v>1.5299999999999999E-2</v>
      </c>
      <c r="AG104" s="204">
        <f>'2.8ДЭС'!N242</f>
        <v>1.12E-2</v>
      </c>
      <c r="AH104" s="203">
        <f>'2.8ДЭС'!M251</f>
        <v>1.5299999999999999E-2</v>
      </c>
      <c r="AI104" s="203">
        <f>'2.8ДЭС'!N251</f>
        <v>4.7000000000000002E-3</v>
      </c>
    </row>
    <row r="105" spans="2:35" ht="20.100000000000001" customHeight="1" x14ac:dyDescent="0.25">
      <c r="B105" s="762"/>
      <c r="C105" s="149"/>
      <c r="D105" s="199" t="str">
        <f>'2.8ДЭС'!K39</f>
        <v>Формальдегид</v>
      </c>
      <c r="E105" s="200" t="str">
        <f>'2.8ДЭС'!L39</f>
        <v>1325</v>
      </c>
      <c r="F105" s="201">
        <f>'2.8ДЭС'!M39</f>
        <v>2.0999999999999999E-3</v>
      </c>
      <c r="G105" s="202">
        <f>'2.8ДЭС'!N39</f>
        <v>8.7000000000000001E-4</v>
      </c>
      <c r="H105" s="201">
        <f>'2.8ДЭС'!M56</f>
        <v>2.0999999999999999E-3</v>
      </c>
      <c r="I105" s="202">
        <f>'2.8ДЭС'!N56</f>
        <v>1.49E-3</v>
      </c>
      <c r="J105" s="201">
        <f>'2.8ДЭС'!M73</f>
        <v>2.0999999999999999E-3</v>
      </c>
      <c r="K105" s="202">
        <f>'2.8ДЭС'!N73</f>
        <v>6.2E-4</v>
      </c>
      <c r="L105" s="197"/>
      <c r="M105" s="198"/>
      <c r="N105" s="201">
        <f>'2.8ДЭС'!M90</f>
        <v>2.0999999999999999E-3</v>
      </c>
      <c r="O105" s="202">
        <f>'2.8ДЭС'!N90</f>
        <v>1.25E-3</v>
      </c>
      <c r="P105" s="205">
        <f>'2.8ДЭС'!M107</f>
        <v>2.0999999999999999E-3</v>
      </c>
      <c r="Q105" s="204">
        <f>'2.8ДЭС'!N107</f>
        <v>1E-3</v>
      </c>
      <c r="R105" s="205">
        <f>'2.8ДЭС'!M124</f>
        <v>2.0999999999999999E-3</v>
      </c>
      <c r="S105" s="204">
        <f>'2.8ДЭС'!N124</f>
        <v>1.25E-3</v>
      </c>
      <c r="T105" s="203">
        <f>'2.8ДЭС'!M141</f>
        <v>2.0999999999999999E-3</v>
      </c>
      <c r="U105" s="204">
        <f>'2.8ДЭС'!N141</f>
        <v>1.25E-3</v>
      </c>
      <c r="V105" s="203">
        <f>'2.8ДЭС'!M158</f>
        <v>2.0999999999999999E-3</v>
      </c>
      <c r="W105" s="206">
        <f>'2.8ДЭС'!N158</f>
        <v>1E-3</v>
      </c>
      <c r="X105" s="205">
        <f>'2.8ДЭС'!M175</f>
        <v>2.0999999999999999E-3</v>
      </c>
      <c r="Y105" s="204">
        <f>'2.8ДЭС'!N175</f>
        <v>1.49E-3</v>
      </c>
      <c r="Z105" s="611">
        <f>'2.8ДЭС'!M192</f>
        <v>2.0999999999999999E-3</v>
      </c>
      <c r="AA105" s="393">
        <f>'2.8ДЭС'!N192</f>
        <v>1.1199999999999999E-3</v>
      </c>
      <c r="AB105" s="205">
        <f>'2.8ДЭС'!M209</f>
        <v>2.0999999999999999E-3</v>
      </c>
      <c r="AC105" s="448">
        <f>'2.8ДЭС'!N209</f>
        <v>8.7000000000000001E-4</v>
      </c>
      <c r="AD105" s="203">
        <f>'2.8ДЭС'!M226</f>
        <v>2.0999999999999999E-3</v>
      </c>
      <c r="AE105" s="204">
        <f>'2.8ДЭС'!N226</f>
        <v>1.49E-3</v>
      </c>
      <c r="AF105" s="205">
        <f>'2.8ДЭС'!M243</f>
        <v>2.0999999999999999E-3</v>
      </c>
      <c r="AG105" s="204">
        <f>'2.8ДЭС'!N243</f>
        <v>1.49E-3</v>
      </c>
      <c r="AH105" s="203">
        <f>'2.8ДЭС'!M252</f>
        <v>2.0999999999999999E-3</v>
      </c>
      <c r="AI105" s="203">
        <f>'2.8ДЭС'!N252</f>
        <v>6.2E-4</v>
      </c>
    </row>
    <row r="106" spans="2:35" ht="20.100000000000001" customHeight="1" thickBot="1" x14ac:dyDescent="0.3">
      <c r="B106" s="763"/>
      <c r="C106" s="149"/>
      <c r="D106" s="199" t="str">
        <f>'2.8ДЭС'!K40</f>
        <v>Бенз(а)пирен</v>
      </c>
      <c r="E106" s="200" t="str">
        <f>'2.8ДЭС'!L40</f>
        <v>0703</v>
      </c>
      <c r="F106" s="576">
        <f>'2.8ДЭС'!M40</f>
        <v>1.9999999999999999E-7</v>
      </c>
      <c r="G106" s="465">
        <f>'2.8ДЭС'!N40</f>
        <v>8.0000000000000002E-8</v>
      </c>
      <c r="H106" s="576">
        <f>'2.8ДЭС'!M57</f>
        <v>1.9999999999999999E-7</v>
      </c>
      <c r="I106" s="465">
        <f>'2.8ДЭС'!N57</f>
        <v>1.37E-7</v>
      </c>
      <c r="J106" s="576">
        <f>'2.8ДЭС'!M74</f>
        <v>1.9999999999999999E-7</v>
      </c>
      <c r="K106" s="465">
        <f>'2.8ДЭС'!N74</f>
        <v>5.7000000000000001E-8</v>
      </c>
      <c r="L106" s="197"/>
      <c r="M106" s="198"/>
      <c r="N106" s="576">
        <f>'2.8ДЭС'!M91</f>
        <v>1.9999999999999999E-7</v>
      </c>
      <c r="O106" s="465">
        <f>'2.8ДЭС'!N91</f>
        <v>1.14E-7</v>
      </c>
      <c r="P106" s="451">
        <f>'2.8ДЭС'!M108</f>
        <v>1.9999999999999999E-7</v>
      </c>
      <c r="Q106" s="459">
        <f>'2.8ДЭС'!N108</f>
        <v>9.0999999999999994E-8</v>
      </c>
      <c r="R106" s="451">
        <f>'2.8ДЭС'!M125</f>
        <v>1.9999999999999999E-7</v>
      </c>
      <c r="S106" s="459">
        <f>'2.8ДЭС'!N125</f>
        <v>1.14E-7</v>
      </c>
      <c r="T106" s="458">
        <f>'2.8ДЭС'!M142</f>
        <v>1.9999999999999999E-7</v>
      </c>
      <c r="U106" s="459">
        <f>'2.8ДЭС'!N142</f>
        <v>1.14E-7</v>
      </c>
      <c r="V106" s="458">
        <f>'2.8ДЭС'!M159</f>
        <v>1.9999999999999999E-7</v>
      </c>
      <c r="W106" s="577">
        <f>'2.8ДЭС'!N159</f>
        <v>9.0999999999999994E-8</v>
      </c>
      <c r="X106" s="451">
        <f>'2.8ДЭС'!M176</f>
        <v>1.9999999999999999E-7</v>
      </c>
      <c r="Y106" s="459">
        <f>'2.8ДЭС'!N176</f>
        <v>1.37E-7</v>
      </c>
      <c r="Z106" s="613">
        <f>'2.8ДЭС'!M193</f>
        <v>1.9999999999999999E-7</v>
      </c>
      <c r="AA106" s="614">
        <f>'2.8ДЭС'!N193</f>
        <v>1.03E-7</v>
      </c>
      <c r="AB106" s="451">
        <f>'2.8ДЭС'!M210</f>
        <v>1.9999999999999999E-7</v>
      </c>
      <c r="AC106" s="452">
        <f>'2.8ДЭС'!N210</f>
        <v>8.0000000000000002E-8</v>
      </c>
      <c r="AD106" s="458">
        <f>'2.8ДЭС'!M227</f>
        <v>1.9999999999999999E-7</v>
      </c>
      <c r="AE106" s="459">
        <f>'2.8ДЭС'!N227</f>
        <v>1.37E-7</v>
      </c>
      <c r="AF106" s="451">
        <f>'2.8ДЭС'!M244</f>
        <v>1.9999999999999999E-7</v>
      </c>
      <c r="AG106" s="459">
        <f>'2.8ДЭС'!N244</f>
        <v>1.37E-7</v>
      </c>
      <c r="AH106" s="458">
        <f>'2.8ДЭС'!M253</f>
        <v>1.9999999999999999E-7</v>
      </c>
      <c r="AI106" s="458">
        <f>'2.8ДЭС'!N253</f>
        <v>5.7000000000000001E-8</v>
      </c>
    </row>
    <row r="107" spans="2:35" s="232" customFormat="1" ht="30.95" customHeight="1" thickBot="1" x14ac:dyDescent="0.3">
      <c r="B107" s="294"/>
      <c r="C107" s="229"/>
      <c r="D107" s="277" t="s">
        <v>471</v>
      </c>
      <c r="E107" s="229"/>
      <c r="F107" s="230">
        <f t="shared" ref="F107:AI107" si="0">SUM(F5:F106)</f>
        <v>5.6231688999999969</v>
      </c>
      <c r="G107" s="231">
        <f t="shared" si="0"/>
        <v>9.4663315299999997</v>
      </c>
      <c r="H107" s="230">
        <f t="shared" si="0"/>
        <v>2.2641247999999998</v>
      </c>
      <c r="I107" s="231">
        <f t="shared" si="0"/>
        <v>5.170923847000001</v>
      </c>
      <c r="J107" s="230">
        <f t="shared" si="0"/>
        <v>1.0127203</v>
      </c>
      <c r="K107" s="231">
        <f t="shared" si="0"/>
        <v>1.2947600870000002</v>
      </c>
      <c r="L107" s="444">
        <f t="shared" si="0"/>
        <v>1.6999999999999999E-3</v>
      </c>
      <c r="M107" s="231">
        <f t="shared" si="0"/>
        <v>1.35E-2</v>
      </c>
      <c r="N107" s="444">
        <f t="shared" si="0"/>
        <v>1.2552236999999999</v>
      </c>
      <c r="O107" s="446">
        <f t="shared" si="0"/>
        <v>2.4748182840000013</v>
      </c>
      <c r="P107" s="233">
        <f t="shared" si="0"/>
        <v>0.74492059999999993</v>
      </c>
      <c r="Q107" s="447">
        <f t="shared" si="0"/>
        <v>1.5325722309999996</v>
      </c>
      <c r="R107" s="233">
        <f t="shared" si="0"/>
        <v>1.3112237000000002</v>
      </c>
      <c r="S107" s="447">
        <f t="shared" si="0"/>
        <v>2.2420082840000006</v>
      </c>
      <c r="T107" s="444">
        <f t="shared" si="0"/>
        <v>0.80142059999999993</v>
      </c>
      <c r="U107" s="446">
        <f t="shared" si="0"/>
        <v>1.983087254</v>
      </c>
      <c r="V107" s="444">
        <f t="shared" si="0"/>
        <v>1.2577233000000001</v>
      </c>
      <c r="W107" s="231">
        <f t="shared" si="0"/>
        <v>2.2940201909999995</v>
      </c>
      <c r="X107" s="230">
        <f t="shared" si="0"/>
        <v>0.72582079999999993</v>
      </c>
      <c r="Y107" s="446">
        <f t="shared" si="0"/>
        <v>2.0376773669999997</v>
      </c>
      <c r="Z107" s="593">
        <f t="shared" si="0"/>
        <v>0.68282069999999995</v>
      </c>
      <c r="AA107" s="615">
        <f t="shared" si="0"/>
        <v>1.1640052329999999</v>
      </c>
      <c r="AB107" s="230">
        <f t="shared" si="0"/>
        <v>1.3596233000000006</v>
      </c>
      <c r="AC107" s="231">
        <f t="shared" si="0"/>
        <v>2.6775191299999999</v>
      </c>
      <c r="AD107" s="444">
        <f t="shared" si="0"/>
        <v>0.7321207999999999</v>
      </c>
      <c r="AE107" s="231">
        <f t="shared" si="0"/>
        <v>2.2445733569999997</v>
      </c>
      <c r="AF107" s="230">
        <f t="shared" si="0"/>
        <v>0.75422060000000002</v>
      </c>
      <c r="AG107" s="446">
        <f t="shared" si="0"/>
        <v>1.7463802669999999</v>
      </c>
      <c r="AH107" s="233">
        <f t="shared" si="0"/>
        <v>0.37622019999999995</v>
      </c>
      <c r="AI107" s="447">
        <f t="shared" si="0"/>
        <v>0.25184405700000001</v>
      </c>
    </row>
    <row r="108" spans="2:35" s="236" customFormat="1" ht="12.75" x14ac:dyDescent="0.2">
      <c r="B108" s="295"/>
      <c r="D108" s="278"/>
      <c r="F108" s="436">
        <f>'2.1 снятие ПРС бульдозер'!Q39+'2.2 погрузка экскаватора'!Q42+'2.3 земляные работы'!S57+'2.4 транспортирование'!V58+'2.5.1 склад ПРС'!Z47+'2.5.2 временные склады'!Z24+'2.6 Сварка'!L40+'2.7сварка полиэтилена'!J36+'2.8ДЭС'!O41+'2.9 топливозаправщик'!P45</f>
        <v>5.6231688999999987</v>
      </c>
      <c r="G108" s="436">
        <f>'2.1 снятие ПРС бульдозер'!R39+'2.2 погрузка экскаватора'!R42+'2.3 земляные работы'!T57+'2.4 транспортирование'!W58+'2.5.1 склад ПРС'!AA47+'2.5.2 временные склады'!AA24+'2.6 Сварка'!M40+'2.7сварка полиэтилена'!K36+'2.8ДЭС'!P41+'2.9 топливозаправщик'!Q45</f>
        <v>9.4663315299999979</v>
      </c>
      <c r="H108" s="466">
        <f>'2.3 земляные работы'!S83+'2.4 транспортирование'!V67+'2.5.1 склад ПРС'!Z52+'2.5.2 временные склады'!Z43+'2.6 Сварка'!L66+'2.7сварка полиэтилена'!J49+'2.8ДЭС'!O58+'2.9 топливозаправщик'!P48</f>
        <v>2.2641247999999998</v>
      </c>
      <c r="I108" s="466">
        <f>'2.3 земляные работы'!T83+'2.4 транспортирование'!W67+'2.5.1 склад ПРС'!AA52+'2.5.2 временные склады'!AA43+'2.6 Сварка'!M66+'2.7сварка полиэтилена'!K49+'2.8ДЭС'!P58+'2.9 топливозаправщик'!Q48</f>
        <v>5.1709238470000001</v>
      </c>
      <c r="J108" s="436">
        <f>'2.3 земляные работы'!S113+'2.4 транспортирование'!V83+'2.5.1 склад ПРС'!Z57+'2.5.2 временные склады'!Z56+'2.6 Сварка'!L99+'2.8ДЭС'!O75+'2.9 топливозаправщик'!P51</f>
        <v>1.0127203</v>
      </c>
      <c r="K108" s="436">
        <f>'2.3 земляные работы'!T113+'2.4 транспортирование'!W83+'2.5.1 склад ПРС'!AA57+'2.5.2 временные склады'!AA56+'2.6 Сварка'!M99+'2.8ДЭС'!P75+'2.9 топливозаправщик'!Q51</f>
        <v>1.2947600869999998</v>
      </c>
      <c r="L108" s="436">
        <f>'2.5.1 склад ПРС'!Z59</f>
        <v>1.6999999999999999E-3</v>
      </c>
      <c r="M108" s="436">
        <f>'2.5.1 склад ПРС'!AA59</f>
        <v>1.35E-2</v>
      </c>
      <c r="N108" s="436">
        <f>'2.1 снятие ПРС бульдозер'!Q44+'2.2 погрузка экскаватора'!Q49+'2.3 земляные работы'!S120+'2.4 транспортирование'!V89+'2.5.1 склад ПРС'!Z64+'2.5.2 временные склады'!Z63+'2.7сварка полиэтилена'!J57+'2.8ДЭС'!O92+'2.9 топливозаправщик'!P54</f>
        <v>1.2552236999999999</v>
      </c>
      <c r="O108" s="436">
        <f>'2.1 снятие ПРС бульдозер'!R44+'2.2 погрузка экскаватора'!R49+'2.3 земляные работы'!T120+'2.4 транспортирование'!W89+'2.5.1 склад ПРС'!AA64+'2.5.2 временные склады'!AA63+'2.7сварка полиэтилена'!K57+'2.8ДЭС'!P92+'2.9 топливозаправщик'!Q54</f>
        <v>2.4748182840000004</v>
      </c>
      <c r="P108" s="436">
        <f>'2.3 земляные работы'!S133+'2.4 транспортирование'!V96+'2.5.1 склад ПРС'!Z66+'2.5.2 временные склады'!Z76+'2.7сварка полиэтилена'!J61+'2.8ДЭС'!O109+'2.9 топливозаправщик'!P57</f>
        <v>0.74492059999999993</v>
      </c>
      <c r="Q108" s="436">
        <f>'2.3 земляные работы'!T133+'2.4 транспортирование'!W96+'2.5.1 склад ПРС'!AA66+'2.5.2 временные склады'!AA76+'2.7сварка полиэтилена'!K61+'2.8ДЭС'!P109+'2.9 топливозаправщик'!Q57</f>
        <v>1.5325722310000001</v>
      </c>
      <c r="R108" s="436">
        <f>'2.1 снятие ПРС бульдозер'!Q49+'2.2 погрузка экскаватора'!Q56+'2.3 земляные работы'!S140+'2.4 транспортирование'!V103+'2.5.1 склад ПРС'!Z71+'2.5.2 временные склады'!Z83+'2.7сварка полиэтилена'!J69+'2.8ДЭС'!O126+'2.9 топливозаправщик'!P60</f>
        <v>1.3112237</v>
      </c>
      <c r="S108" s="436">
        <f>'2.1 снятие ПРС бульдозер'!R49+'2.2 погрузка экскаватора'!R56+'2.3 земляные работы'!T140+'2.4 транспортирование'!W103+'2.5.1 склад ПРС'!AA71+'2.5.2 временные склады'!AA83+'2.7сварка полиэтилена'!K69+'2.8ДЭС'!P126+'2.9 топливозаправщик'!Q60</f>
        <v>2.2420082840000002</v>
      </c>
      <c r="T108" s="436">
        <f>'2.3 земляные работы'!S153+'2.4 транспортирование'!V110+'2.5.1 склад ПРС'!Z73+'2.5.2 временные склады'!Z96+'2.7сварка полиэтилена'!J73+'2.8ДЭС'!O143+'2.9 топливозаправщик'!P63</f>
        <v>0.80142059999999982</v>
      </c>
      <c r="U108" s="436">
        <f>'2.3 земляные работы'!T153+'2.4 транспортирование'!W110+'2.5.1 склад ПРС'!AA73+'2.5.2 временные склады'!AA96+'2.7сварка полиэтилена'!K73+'2.8ДЭС'!P143+'2.9 топливозаправщик'!Q63</f>
        <v>1.983087254</v>
      </c>
      <c r="V108" s="436">
        <f>'2.1 снятие ПРС бульдозер'!Q54+'2.2 погрузка экскаватора'!Q63+'2.3 земляные работы'!S159+'2.4 транспортирование'!V117+'2.5.1 склад ПРС'!Z78+'2.5.2 временные склады'!Z103+'2.7сварка полиэтилена'!J77+'2.8ДЭС'!O160+'2.9 топливозаправщик'!P66</f>
        <v>1.2577233000000001</v>
      </c>
      <c r="W108" s="436">
        <f>'2.1 снятие ПРС бульдозер'!R54+'2.2 погрузка экскаватора'!R63+'2.3 земляные работы'!T159+'2.4 транспортирование'!W117+'2.5.1 склад ПРС'!AA78+'2.5.2 временные склады'!AA103+'2.7сварка полиэтилена'!K77+'2.8ДЭС'!P160+'2.9 топливозаправщик'!Q66</f>
        <v>2.2940201909999995</v>
      </c>
      <c r="X108" s="436">
        <f>'2.3 земляные работы'!S165+'2.4 транспортирование'!V122+'2.5.1 склад ПРС'!Z80+'2.5.2 временные склады'!Z110+'2.7сварка полиэтилена'!J81+'2.8ДЭС'!O177+'2.9 топливозаправщик'!P69</f>
        <v>0.72582079999999993</v>
      </c>
      <c r="Y108" s="436">
        <f>'2.3 земляные работы'!T165+'2.4 транспортирование'!W122+'2.5.1 склад ПРС'!AA80+'2.5.2 временные склады'!AA110+'2.7сварка полиэтилена'!K81+'2.8ДЭС'!P177+'2.9 топливозаправщик'!Q69</f>
        <v>2.0376773670000006</v>
      </c>
      <c r="Z108" s="594">
        <f>'2.3 земляные работы'!S177+'2.4 транспортирование'!V129+'2.5.2 временные склады'!Z123+'2.7сварка полиэтилена'!J85+'2.8ДЭС'!O194+'2.9 топливозаправщик'!P72</f>
        <v>0.68282069999999995</v>
      </c>
      <c r="AA108" s="594">
        <f>'2.3 земляные работы'!T177+'2.4 транспортирование'!W129+'2.5.2 временные склады'!AA123+'2.7сварка полиэтилена'!K85+'2.8ДЭС'!P194+'2.9 топливозаправщик'!Q72</f>
        <v>1.1640052329999999</v>
      </c>
      <c r="AB108" s="436">
        <f>'2.1 снятие ПРС бульдозер'!Q59+'2.2 погрузка экскаватора'!Q70+'2.3 земляные работы'!S183+'2.4 транспортирование'!V136+'2.5.1 склад ПРС'!Z85+'2.5.2 временные склады'!Z130+'2.7сварка полиэтилена'!J89+'2.8ДЭС'!O211+'2.9 топливозаправщик'!P75</f>
        <v>1.3596233</v>
      </c>
      <c r="AC108" s="436">
        <f>'2.1 снятие ПРС бульдозер'!R59+'2.2 погрузка экскаватора'!R70+'2.3 земляные работы'!T183+'2.4 транспортирование'!W136+'2.5.1 склад ПРС'!AA85+'2.5.2 временные склады'!AA130+'2.7сварка полиэтилена'!K89+'2.8ДЭС'!P211+'2.9 топливозаправщик'!Q75</f>
        <v>2.6775191299999999</v>
      </c>
      <c r="AD108" s="436">
        <f>'2.3 земляные работы'!S189+'2.4 транспортирование'!V141+'2.5.1 склад ПРС'!Z87+'2.5.2 временные склады'!Z137+'2.7сварка полиэтилена'!J93+'2.8ДЭС'!O228+'2.9 топливозаправщик'!P78</f>
        <v>0.7321207999999999</v>
      </c>
      <c r="AE108" s="436">
        <f>'2.3 земляные работы'!T189+'2.4 транспортирование'!W141+'2.5.1 склад ПРС'!AA87+'2.5.2 временные склады'!AA137+'2.7сварка полиэтилена'!K93+'2.8ДЭС'!P228+'2.9 топливозаправщик'!Q78</f>
        <v>2.2445733569999997</v>
      </c>
      <c r="AF108" s="436">
        <f>'2.3 земляные работы'!S199+'2.4 транспортирование'!V148+'2.5.2 временные склады'!Z150+'2.7сварка полиэтилена'!J97+'2.8ДЭС'!O245+'2.9 топливозаправщик'!P81</f>
        <v>0.75422059999999991</v>
      </c>
      <c r="AG108" s="436">
        <f>'2.3 земляные работы'!T199+'2.4 транспортирование'!W148+'2.5.2 временные склады'!AA150+'2.7сварка полиэтилена'!K97+'2.8ДЭС'!P245+'2.9 топливозаправщик'!Q81</f>
        <v>1.7463802669999999</v>
      </c>
      <c r="AH108" s="436">
        <f>'2.3 земляные работы'!S207+'2.4 транспортирование'!V155+'2.5.2 временные склады'!Z163+'2.8ДЭС'!O254+'2.9 топливозаправщик'!P84</f>
        <v>0.3762202</v>
      </c>
      <c r="AI108" s="436">
        <f>'2.3 земляные работы'!T207+'2.4 транспортирование'!W155+'2.5.2 временные склады'!AA163+'2.8ДЭС'!P254+'2.9 топливозаправщик'!Q84</f>
        <v>0.25184405700000001</v>
      </c>
    </row>
    <row r="109" spans="2:35" s="236" customFormat="1" ht="12.75" x14ac:dyDescent="0.2">
      <c r="B109" s="295"/>
      <c r="D109" s="278"/>
      <c r="F109" s="436">
        <f>F107-F108</f>
        <v>0</v>
      </c>
      <c r="G109" s="436">
        <f>G107-G108</f>
        <v>0</v>
      </c>
      <c r="H109" s="466">
        <f t="shared" ref="H109:AH109" si="1">H107-H108</f>
        <v>0</v>
      </c>
      <c r="I109" s="466">
        <f t="shared" si="1"/>
        <v>0</v>
      </c>
      <c r="J109" s="466">
        <f t="shared" si="1"/>
        <v>0</v>
      </c>
      <c r="K109" s="466">
        <f t="shared" si="1"/>
        <v>0</v>
      </c>
      <c r="L109" s="466">
        <f t="shared" si="1"/>
        <v>0</v>
      </c>
      <c r="M109" s="466">
        <f t="shared" si="1"/>
        <v>0</v>
      </c>
      <c r="N109" s="466">
        <f t="shared" si="1"/>
        <v>0</v>
      </c>
      <c r="O109" s="466">
        <f t="shared" si="1"/>
        <v>0</v>
      </c>
      <c r="P109" s="466">
        <f t="shared" si="1"/>
        <v>0</v>
      </c>
      <c r="Q109" s="466">
        <f t="shared" si="1"/>
        <v>0</v>
      </c>
      <c r="R109" s="466">
        <f t="shared" si="1"/>
        <v>0</v>
      </c>
      <c r="S109" s="466">
        <f t="shared" si="1"/>
        <v>0</v>
      </c>
      <c r="T109" s="466">
        <f t="shared" si="1"/>
        <v>0</v>
      </c>
      <c r="U109" s="466">
        <f t="shared" si="1"/>
        <v>0</v>
      </c>
      <c r="V109" s="466">
        <f t="shared" si="1"/>
        <v>0</v>
      </c>
      <c r="W109" s="466">
        <f t="shared" si="1"/>
        <v>0</v>
      </c>
      <c r="X109" s="466">
        <f t="shared" si="1"/>
        <v>0</v>
      </c>
      <c r="Y109" s="466">
        <f t="shared" ref="Y109" si="2">Y107-Y108</f>
        <v>0</v>
      </c>
      <c r="Z109" s="732">
        <f t="shared" si="1"/>
        <v>0</v>
      </c>
      <c r="AA109" s="732">
        <f t="shared" ref="AA109" si="3">AA107-AA108</f>
        <v>0</v>
      </c>
      <c r="AB109" s="466">
        <f t="shared" si="1"/>
        <v>0</v>
      </c>
      <c r="AC109" s="466">
        <f t="shared" si="1"/>
        <v>0</v>
      </c>
      <c r="AD109" s="466">
        <f t="shared" si="1"/>
        <v>0</v>
      </c>
      <c r="AE109" s="466">
        <f t="shared" ref="AE109" si="4">AE107-AE108</f>
        <v>0</v>
      </c>
      <c r="AF109" s="466">
        <f t="shared" si="1"/>
        <v>0</v>
      </c>
      <c r="AG109" s="466">
        <f t="shared" ref="AG109" si="5">AG107-AG108</f>
        <v>0</v>
      </c>
      <c r="AH109" s="466">
        <f t="shared" si="1"/>
        <v>0</v>
      </c>
      <c r="AI109" s="466">
        <f>AI107-AI108</f>
        <v>0</v>
      </c>
    </row>
    <row r="110" spans="2:35" ht="20.100000000000001" customHeight="1" x14ac:dyDescent="0.25">
      <c r="D110" s="134"/>
      <c r="F110" s="742" t="s">
        <v>466</v>
      </c>
      <c r="G110" s="742"/>
      <c r="H110" s="742" t="s">
        <v>466</v>
      </c>
      <c r="I110" s="742"/>
      <c r="J110" s="742" t="s">
        <v>466</v>
      </c>
      <c r="K110" s="742"/>
      <c r="L110" s="742" t="s">
        <v>466</v>
      </c>
      <c r="M110" s="742"/>
      <c r="N110" s="742" t="s">
        <v>466</v>
      </c>
      <c r="O110" s="742"/>
      <c r="P110" s="742" t="s">
        <v>466</v>
      </c>
      <c r="Q110" s="742"/>
      <c r="R110" s="742" t="s">
        <v>466</v>
      </c>
      <c r="S110" s="742"/>
      <c r="T110" s="742" t="s">
        <v>466</v>
      </c>
      <c r="U110" s="742"/>
      <c r="V110" s="742" t="s">
        <v>466</v>
      </c>
      <c r="W110" s="742"/>
      <c r="X110" s="742" t="s">
        <v>466</v>
      </c>
      <c r="Y110" s="742"/>
      <c r="Z110" s="750" t="s">
        <v>466</v>
      </c>
      <c r="AA110" s="750"/>
      <c r="AB110" s="742" t="s">
        <v>466</v>
      </c>
      <c r="AC110" s="742"/>
      <c r="AD110" s="742" t="s">
        <v>466</v>
      </c>
      <c r="AE110" s="742"/>
      <c r="AF110" s="134"/>
      <c r="AG110" s="134"/>
      <c r="AH110" s="134"/>
      <c r="AI110" s="134"/>
    </row>
    <row r="111" spans="2:35" s="155" customFormat="1" ht="19.5" customHeight="1" x14ac:dyDescent="0.25">
      <c r="B111" s="95"/>
      <c r="D111" s="746" t="s">
        <v>12</v>
      </c>
      <c r="E111" s="746" t="s">
        <v>467</v>
      </c>
      <c r="F111" s="743" t="s">
        <v>16</v>
      </c>
      <c r="G111" s="743"/>
      <c r="H111" s="748" t="s">
        <v>97</v>
      </c>
      <c r="I111" s="748"/>
      <c r="J111" s="743" t="s">
        <v>98</v>
      </c>
      <c r="K111" s="743"/>
      <c r="L111" s="743" t="s">
        <v>304</v>
      </c>
      <c r="M111" s="743"/>
      <c r="N111" s="743" t="s">
        <v>103</v>
      </c>
      <c r="O111" s="743"/>
      <c r="P111" s="743" t="s">
        <v>105</v>
      </c>
      <c r="Q111" s="743"/>
      <c r="R111" s="743" t="s">
        <v>109</v>
      </c>
      <c r="S111" s="743"/>
      <c r="T111" s="743" t="s">
        <v>111</v>
      </c>
      <c r="U111" s="743"/>
      <c r="V111" s="743" t="s">
        <v>112</v>
      </c>
      <c r="W111" s="743"/>
      <c r="X111" s="743" t="s">
        <v>114</v>
      </c>
      <c r="Y111" s="743"/>
      <c r="Z111" s="749" t="s">
        <v>115</v>
      </c>
      <c r="AA111" s="749"/>
      <c r="AB111" s="743" t="s">
        <v>119</v>
      </c>
      <c r="AC111" s="743"/>
      <c r="AD111" s="743" t="s">
        <v>121</v>
      </c>
      <c r="AE111" s="743"/>
      <c r="AF111" s="743" t="s">
        <v>122</v>
      </c>
      <c r="AG111" s="743"/>
      <c r="AH111" s="743" t="s">
        <v>123</v>
      </c>
      <c r="AI111" s="743"/>
    </row>
    <row r="112" spans="2:35" ht="20.100000000000001" customHeight="1" x14ac:dyDescent="0.25">
      <c r="D112" s="747"/>
      <c r="E112" s="747"/>
      <c r="F112" s="145" t="s">
        <v>54</v>
      </c>
      <c r="G112" s="145" t="s">
        <v>53</v>
      </c>
      <c r="H112" s="145" t="s">
        <v>54</v>
      </c>
      <c r="I112" s="145" t="s">
        <v>53</v>
      </c>
      <c r="J112" s="145" t="s">
        <v>54</v>
      </c>
      <c r="K112" s="145" t="s">
        <v>53</v>
      </c>
      <c r="L112" s="145" t="s">
        <v>54</v>
      </c>
      <c r="M112" s="145" t="s">
        <v>53</v>
      </c>
      <c r="N112" s="145" t="s">
        <v>54</v>
      </c>
      <c r="O112" s="145" t="s">
        <v>53</v>
      </c>
      <c r="P112" s="145" t="s">
        <v>54</v>
      </c>
      <c r="Q112" s="145" t="s">
        <v>53</v>
      </c>
      <c r="R112" s="145" t="s">
        <v>54</v>
      </c>
      <c r="S112" s="145" t="s">
        <v>53</v>
      </c>
      <c r="T112" s="145" t="s">
        <v>54</v>
      </c>
      <c r="U112" s="145" t="s">
        <v>53</v>
      </c>
      <c r="V112" s="145" t="s">
        <v>54</v>
      </c>
      <c r="W112" s="145" t="s">
        <v>53</v>
      </c>
      <c r="X112" s="145" t="s">
        <v>54</v>
      </c>
      <c r="Y112" s="145" t="s">
        <v>53</v>
      </c>
      <c r="Z112" s="595" t="s">
        <v>54</v>
      </c>
      <c r="AA112" s="595" t="s">
        <v>53</v>
      </c>
      <c r="AB112" s="145" t="s">
        <v>54</v>
      </c>
      <c r="AC112" s="145" t="s">
        <v>53</v>
      </c>
      <c r="AD112" s="145" t="s">
        <v>54</v>
      </c>
      <c r="AE112" s="145" t="s">
        <v>53</v>
      </c>
      <c r="AF112" s="145" t="s">
        <v>54</v>
      </c>
      <c r="AG112" s="145" t="s">
        <v>53</v>
      </c>
      <c r="AH112" s="145" t="s">
        <v>54</v>
      </c>
      <c r="AI112" s="145" t="s">
        <v>53</v>
      </c>
    </row>
    <row r="113" spans="4:35" ht="20.100000000000001" customHeight="1" x14ac:dyDescent="0.25">
      <c r="D113" s="146">
        <v>1</v>
      </c>
      <c r="E113" s="146">
        <v>2</v>
      </c>
      <c r="F113" s="146">
        <v>3</v>
      </c>
      <c r="G113" s="146">
        <v>4</v>
      </c>
      <c r="H113" s="146">
        <v>5</v>
      </c>
      <c r="I113" s="146">
        <v>6</v>
      </c>
      <c r="J113" s="146">
        <v>7</v>
      </c>
      <c r="K113" s="146">
        <v>8</v>
      </c>
      <c r="L113" s="146">
        <v>9</v>
      </c>
      <c r="M113" s="146">
        <v>10</v>
      </c>
      <c r="N113" s="146">
        <v>13</v>
      </c>
      <c r="O113" s="146">
        <v>14</v>
      </c>
      <c r="P113" s="146">
        <v>15</v>
      </c>
      <c r="Q113" s="146">
        <v>16</v>
      </c>
      <c r="R113" s="146">
        <v>19</v>
      </c>
      <c r="S113" s="146">
        <v>20</v>
      </c>
      <c r="T113" s="146">
        <v>21</v>
      </c>
      <c r="U113" s="146">
        <v>22</v>
      </c>
      <c r="V113" s="146">
        <v>25</v>
      </c>
      <c r="W113" s="146">
        <v>26</v>
      </c>
      <c r="X113" s="146">
        <v>27</v>
      </c>
      <c r="Y113" s="146">
        <v>28</v>
      </c>
      <c r="Z113" s="596">
        <v>29</v>
      </c>
      <c r="AA113" s="596">
        <v>30</v>
      </c>
      <c r="AB113" s="146">
        <v>31</v>
      </c>
      <c r="AC113" s="146">
        <v>32</v>
      </c>
      <c r="AD113" s="146">
        <v>33</v>
      </c>
      <c r="AE113" s="146">
        <v>34</v>
      </c>
      <c r="AF113" s="146">
        <v>35</v>
      </c>
      <c r="AG113" s="146">
        <v>36</v>
      </c>
      <c r="AH113" s="146">
        <v>37</v>
      </c>
      <c r="AI113" s="146">
        <v>38</v>
      </c>
    </row>
    <row r="114" spans="4:35" ht="20.100000000000001" customHeight="1" x14ac:dyDescent="0.25">
      <c r="D114" s="468" t="s">
        <v>158</v>
      </c>
      <c r="E114" s="469" t="s">
        <v>159</v>
      </c>
      <c r="F114" s="146">
        <f t="shared" ref="F114:AI114" si="6">F11+F21+F29+F36+F43+F51+F60+F69</f>
        <v>2.3999999999999998E-3</v>
      </c>
      <c r="G114" s="146">
        <f t="shared" si="6"/>
        <v>2.3999999999999998E-3</v>
      </c>
      <c r="H114" s="146">
        <f t="shared" si="6"/>
        <v>7.1999999999999998E-3</v>
      </c>
      <c r="I114" s="146">
        <f t="shared" si="6"/>
        <v>6.3999999999999994E-3</v>
      </c>
      <c r="J114" s="146">
        <f t="shared" si="6"/>
        <v>6.7199999999999996E-2</v>
      </c>
      <c r="K114" s="146">
        <f t="shared" si="6"/>
        <v>6.25E-2</v>
      </c>
      <c r="L114" s="146">
        <f t="shared" si="6"/>
        <v>0</v>
      </c>
      <c r="M114" s="146">
        <f t="shared" si="6"/>
        <v>0</v>
      </c>
      <c r="N114" s="146">
        <f t="shared" si="6"/>
        <v>0</v>
      </c>
      <c r="O114" s="146">
        <f t="shared" si="6"/>
        <v>0</v>
      </c>
      <c r="P114" s="146">
        <f t="shared" si="6"/>
        <v>0</v>
      </c>
      <c r="Q114" s="146">
        <f t="shared" si="6"/>
        <v>0</v>
      </c>
      <c r="R114" s="146">
        <f t="shared" si="6"/>
        <v>0</v>
      </c>
      <c r="S114" s="146">
        <f t="shared" si="6"/>
        <v>0</v>
      </c>
      <c r="T114" s="146">
        <f t="shared" si="6"/>
        <v>0</v>
      </c>
      <c r="U114" s="146">
        <f t="shared" si="6"/>
        <v>0</v>
      </c>
      <c r="V114" s="146">
        <f t="shared" si="6"/>
        <v>0</v>
      </c>
      <c r="W114" s="146">
        <f t="shared" si="6"/>
        <v>0</v>
      </c>
      <c r="X114" s="146">
        <f t="shared" si="6"/>
        <v>0</v>
      </c>
      <c r="Y114" s="146">
        <f t="shared" si="6"/>
        <v>0</v>
      </c>
      <c r="Z114" s="146">
        <f t="shared" si="6"/>
        <v>0</v>
      </c>
      <c r="AA114" s="146">
        <f t="shared" si="6"/>
        <v>0</v>
      </c>
      <c r="AB114" s="146">
        <f t="shared" si="6"/>
        <v>0</v>
      </c>
      <c r="AC114" s="146">
        <f t="shared" si="6"/>
        <v>0</v>
      </c>
      <c r="AD114" s="146">
        <f t="shared" si="6"/>
        <v>0</v>
      </c>
      <c r="AE114" s="146">
        <f t="shared" si="6"/>
        <v>0</v>
      </c>
      <c r="AF114" s="146">
        <f t="shared" si="6"/>
        <v>0</v>
      </c>
      <c r="AG114" s="146">
        <f t="shared" si="6"/>
        <v>0</v>
      </c>
      <c r="AH114" s="146">
        <f t="shared" si="6"/>
        <v>0</v>
      </c>
      <c r="AI114" s="146">
        <f t="shared" si="6"/>
        <v>0</v>
      </c>
    </row>
    <row r="115" spans="4:35" ht="20.100000000000001" customHeight="1" x14ac:dyDescent="0.25">
      <c r="D115" s="468" t="s">
        <v>154</v>
      </c>
      <c r="E115" s="469" t="s">
        <v>155</v>
      </c>
      <c r="F115" s="146">
        <f t="shared" ref="F115:AI115" si="7">F9+F19+F27+F34+F41+F49+F58+F67</f>
        <v>2.0000000000000001E-4</v>
      </c>
      <c r="G115" s="146">
        <f t="shared" si="7"/>
        <v>2.0000000000000001E-4</v>
      </c>
      <c r="H115" s="146">
        <f t="shared" si="7"/>
        <v>6.0000000000000006E-4</v>
      </c>
      <c r="I115" s="146">
        <f t="shared" si="7"/>
        <v>5.0000000000000001E-4</v>
      </c>
      <c r="J115" s="146">
        <f t="shared" si="7"/>
        <v>5.7999999999999987E-3</v>
      </c>
      <c r="K115" s="146">
        <f t="shared" si="7"/>
        <v>5.3699999999999998E-3</v>
      </c>
      <c r="L115" s="146">
        <f t="shared" si="7"/>
        <v>0</v>
      </c>
      <c r="M115" s="146">
        <f t="shared" si="7"/>
        <v>0</v>
      </c>
      <c r="N115" s="146">
        <f t="shared" si="7"/>
        <v>0</v>
      </c>
      <c r="O115" s="146">
        <f t="shared" si="7"/>
        <v>0</v>
      </c>
      <c r="P115" s="146">
        <f t="shared" si="7"/>
        <v>0</v>
      </c>
      <c r="Q115" s="146">
        <f t="shared" si="7"/>
        <v>0</v>
      </c>
      <c r="R115" s="146">
        <f t="shared" si="7"/>
        <v>0</v>
      </c>
      <c r="S115" s="146">
        <f t="shared" si="7"/>
        <v>0</v>
      </c>
      <c r="T115" s="146">
        <f t="shared" si="7"/>
        <v>0</v>
      </c>
      <c r="U115" s="146">
        <f t="shared" si="7"/>
        <v>0</v>
      </c>
      <c r="V115" s="146">
        <f t="shared" si="7"/>
        <v>0</v>
      </c>
      <c r="W115" s="146">
        <f t="shared" si="7"/>
        <v>0</v>
      </c>
      <c r="X115" s="146">
        <f t="shared" si="7"/>
        <v>0</v>
      </c>
      <c r="Y115" s="146">
        <f t="shared" si="7"/>
        <v>0</v>
      </c>
      <c r="Z115" s="146">
        <f t="shared" si="7"/>
        <v>0</v>
      </c>
      <c r="AA115" s="146">
        <f t="shared" si="7"/>
        <v>0</v>
      </c>
      <c r="AB115" s="146">
        <f t="shared" si="7"/>
        <v>0</v>
      </c>
      <c r="AC115" s="146">
        <f t="shared" si="7"/>
        <v>0</v>
      </c>
      <c r="AD115" s="146">
        <f t="shared" si="7"/>
        <v>0</v>
      </c>
      <c r="AE115" s="146">
        <f t="shared" si="7"/>
        <v>0</v>
      </c>
      <c r="AF115" s="146">
        <f t="shared" si="7"/>
        <v>0</v>
      </c>
      <c r="AG115" s="146">
        <f t="shared" si="7"/>
        <v>0</v>
      </c>
      <c r="AH115" s="146">
        <f t="shared" si="7"/>
        <v>0</v>
      </c>
      <c r="AI115" s="146">
        <f t="shared" si="7"/>
        <v>0</v>
      </c>
    </row>
    <row r="116" spans="4:35" ht="20.100000000000001" customHeight="1" x14ac:dyDescent="0.25">
      <c r="D116" s="468" t="s">
        <v>152</v>
      </c>
      <c r="E116" s="469" t="s">
        <v>153</v>
      </c>
      <c r="F116" s="146">
        <f t="shared" ref="F116:AI116" si="8">F8+F18+F26+F33+F40+F48+F57+F66+F92+F100</f>
        <v>0.18340000000000001</v>
      </c>
      <c r="G116" s="146">
        <f t="shared" si="8"/>
        <v>8.0100000000000005E-2</v>
      </c>
      <c r="H116" s="146">
        <f t="shared" si="8"/>
        <v>0.184</v>
      </c>
      <c r="I116" s="146">
        <f t="shared" si="8"/>
        <v>0.1381</v>
      </c>
      <c r="J116" s="146">
        <f t="shared" si="8"/>
        <v>0.19240000000000002</v>
      </c>
      <c r="K116" s="146">
        <f t="shared" si="8"/>
        <v>6.5790000000000001E-2</v>
      </c>
      <c r="L116" s="146">
        <f t="shared" si="8"/>
        <v>0</v>
      </c>
      <c r="M116" s="146">
        <f t="shared" si="8"/>
        <v>0</v>
      </c>
      <c r="N116" s="146">
        <f t="shared" si="8"/>
        <v>0.18309999999999998</v>
      </c>
      <c r="O116" s="146">
        <f t="shared" si="8"/>
        <v>0.1144</v>
      </c>
      <c r="P116" s="146">
        <f t="shared" si="8"/>
        <v>0.18309999999999998</v>
      </c>
      <c r="Q116" s="146">
        <f t="shared" si="8"/>
        <v>9.1499999999999998E-2</v>
      </c>
      <c r="R116" s="146">
        <f t="shared" si="8"/>
        <v>0.18309999999999998</v>
      </c>
      <c r="S116" s="146">
        <f t="shared" si="8"/>
        <v>0.1144</v>
      </c>
      <c r="T116" s="146">
        <f t="shared" si="8"/>
        <v>0.18309999999999998</v>
      </c>
      <c r="U116" s="146">
        <f t="shared" si="8"/>
        <v>0.1144</v>
      </c>
      <c r="V116" s="146">
        <f t="shared" si="8"/>
        <v>0.18309999999999998</v>
      </c>
      <c r="W116" s="146">
        <f t="shared" si="8"/>
        <v>9.1499999999999998E-2</v>
      </c>
      <c r="X116" s="146">
        <f t="shared" si="8"/>
        <v>0.18309999999999998</v>
      </c>
      <c r="Y116" s="146">
        <f t="shared" si="8"/>
        <v>0.13700000000000001</v>
      </c>
      <c r="Z116" s="146">
        <f t="shared" si="8"/>
        <v>0.18309999999999998</v>
      </c>
      <c r="AA116" s="146">
        <f t="shared" si="8"/>
        <v>0.1028</v>
      </c>
      <c r="AB116" s="146">
        <f t="shared" si="8"/>
        <v>0.18309999999999998</v>
      </c>
      <c r="AC116" s="146">
        <f t="shared" si="8"/>
        <v>7.9899999999999999E-2</v>
      </c>
      <c r="AD116" s="146">
        <f t="shared" si="8"/>
        <v>0.18309999999999998</v>
      </c>
      <c r="AE116" s="146">
        <f t="shared" si="8"/>
        <v>0.13700000000000001</v>
      </c>
      <c r="AF116" s="146">
        <f t="shared" si="8"/>
        <v>0.18309999999999998</v>
      </c>
      <c r="AG116" s="146">
        <f t="shared" si="8"/>
        <v>0.13700000000000001</v>
      </c>
      <c r="AH116" s="146">
        <f t="shared" si="8"/>
        <v>0.1144</v>
      </c>
      <c r="AI116" s="146">
        <f t="shared" si="8"/>
        <v>3.5700000000000003E-2</v>
      </c>
    </row>
    <row r="117" spans="4:35" ht="20.100000000000001" customHeight="1" x14ac:dyDescent="0.25">
      <c r="D117" s="470" t="s">
        <v>201</v>
      </c>
      <c r="E117" s="471" t="s">
        <v>202</v>
      </c>
      <c r="F117" s="146">
        <f t="shared" ref="F117:AI117" si="9">F93+F101</f>
        <v>2.98E-2</v>
      </c>
      <c r="G117" s="146">
        <f t="shared" si="9"/>
        <v>1.2999999999999999E-2</v>
      </c>
      <c r="H117" s="146">
        <f t="shared" si="9"/>
        <v>2.98E-2</v>
      </c>
      <c r="I117" s="146">
        <f t="shared" si="9"/>
        <v>2.23E-2</v>
      </c>
      <c r="J117" s="146">
        <f t="shared" si="9"/>
        <v>2.98E-2</v>
      </c>
      <c r="K117" s="146">
        <f t="shared" si="9"/>
        <v>9.2999999999999992E-3</v>
      </c>
      <c r="L117" s="146">
        <f t="shared" si="9"/>
        <v>0</v>
      </c>
      <c r="M117" s="146">
        <f t="shared" si="9"/>
        <v>0</v>
      </c>
      <c r="N117" s="146">
        <f t="shared" si="9"/>
        <v>2.98E-2</v>
      </c>
      <c r="O117" s="146">
        <f t="shared" si="9"/>
        <v>1.8599999999999998E-2</v>
      </c>
      <c r="P117" s="146">
        <f t="shared" si="9"/>
        <v>2.98E-2</v>
      </c>
      <c r="Q117" s="146">
        <f t="shared" si="9"/>
        <v>1.49E-2</v>
      </c>
      <c r="R117" s="146">
        <f t="shared" si="9"/>
        <v>2.98E-2</v>
      </c>
      <c r="S117" s="146">
        <f t="shared" si="9"/>
        <v>1.8599999999999998E-2</v>
      </c>
      <c r="T117" s="146">
        <f t="shared" si="9"/>
        <v>2.98E-2</v>
      </c>
      <c r="U117" s="146">
        <f t="shared" si="9"/>
        <v>1.8599999999999998E-2</v>
      </c>
      <c r="V117" s="146">
        <f t="shared" si="9"/>
        <v>2.98E-2</v>
      </c>
      <c r="W117" s="146">
        <f t="shared" si="9"/>
        <v>1.49E-2</v>
      </c>
      <c r="X117" s="146">
        <f t="shared" si="9"/>
        <v>2.98E-2</v>
      </c>
      <c r="Y117" s="146">
        <f t="shared" si="9"/>
        <v>2.2199999999999998E-2</v>
      </c>
      <c r="Z117" s="146">
        <f t="shared" si="9"/>
        <v>2.98E-2</v>
      </c>
      <c r="AA117" s="146">
        <f t="shared" si="9"/>
        <v>1.67E-2</v>
      </c>
      <c r="AB117" s="146">
        <f t="shared" si="9"/>
        <v>2.98E-2</v>
      </c>
      <c r="AC117" s="146">
        <f t="shared" si="9"/>
        <v>1.2999999999999999E-2</v>
      </c>
      <c r="AD117" s="146">
        <f t="shared" si="9"/>
        <v>2.98E-2</v>
      </c>
      <c r="AE117" s="146">
        <f t="shared" si="9"/>
        <v>2.2199999999999998E-2</v>
      </c>
      <c r="AF117" s="146">
        <f t="shared" si="9"/>
        <v>2.98E-2</v>
      </c>
      <c r="AG117" s="146">
        <f t="shared" si="9"/>
        <v>2.2199999999999998E-2</v>
      </c>
      <c r="AH117" s="146">
        <f t="shared" si="9"/>
        <v>1.8599999999999998E-2</v>
      </c>
      <c r="AI117" s="146">
        <f t="shared" si="9"/>
        <v>5.7999999999999996E-3</v>
      </c>
    </row>
    <row r="118" spans="4:35" ht="20.100000000000001" customHeight="1" x14ac:dyDescent="0.25">
      <c r="D118" s="470" t="s">
        <v>207</v>
      </c>
      <c r="E118" s="471" t="s">
        <v>208</v>
      </c>
      <c r="F118" s="146">
        <f t="shared" ref="F118:AI118" si="10">F95+F103</f>
        <v>1.55E-2</v>
      </c>
      <c r="G118" s="146">
        <f t="shared" si="10"/>
        <v>7.0000000000000001E-3</v>
      </c>
      <c r="H118" s="146">
        <f t="shared" si="10"/>
        <v>1.55E-2</v>
      </c>
      <c r="I118" s="146">
        <f t="shared" si="10"/>
        <v>1.2E-2</v>
      </c>
      <c r="J118" s="146">
        <f t="shared" si="10"/>
        <v>1.55E-2</v>
      </c>
      <c r="K118" s="146">
        <f t="shared" si="10"/>
        <v>5.0000000000000001E-3</v>
      </c>
      <c r="L118" s="146">
        <f t="shared" si="10"/>
        <v>0</v>
      </c>
      <c r="M118" s="146">
        <f t="shared" si="10"/>
        <v>0</v>
      </c>
      <c r="N118" s="146">
        <f t="shared" si="10"/>
        <v>1.55E-2</v>
      </c>
      <c r="O118" s="146">
        <f t="shared" si="10"/>
        <v>0.01</v>
      </c>
      <c r="P118" s="146">
        <f t="shared" si="10"/>
        <v>1.55E-2</v>
      </c>
      <c r="Q118" s="146">
        <f t="shared" si="10"/>
        <v>8.0000000000000002E-3</v>
      </c>
      <c r="R118" s="146">
        <f t="shared" si="10"/>
        <v>1.55E-2</v>
      </c>
      <c r="S118" s="146">
        <f t="shared" si="10"/>
        <v>0.01</v>
      </c>
      <c r="T118" s="146">
        <f t="shared" si="10"/>
        <v>1.55E-2</v>
      </c>
      <c r="U118" s="146">
        <f t="shared" si="10"/>
        <v>0.01</v>
      </c>
      <c r="V118" s="146">
        <f t="shared" si="10"/>
        <v>1.55E-2</v>
      </c>
      <c r="W118" s="146">
        <f t="shared" si="10"/>
        <v>8.0000000000000002E-3</v>
      </c>
      <c r="X118" s="146">
        <f t="shared" si="10"/>
        <v>1.55E-2</v>
      </c>
      <c r="Y118" s="146">
        <f t="shared" si="10"/>
        <v>1.2E-2</v>
      </c>
      <c r="Z118" s="146">
        <f t="shared" si="10"/>
        <v>1.55E-2</v>
      </c>
      <c r="AA118" s="146">
        <f t="shared" si="10"/>
        <v>8.9999999999999993E-3</v>
      </c>
      <c r="AB118" s="146">
        <f t="shared" si="10"/>
        <v>1.55E-2</v>
      </c>
      <c r="AC118" s="146">
        <f t="shared" si="10"/>
        <v>7.0000000000000001E-3</v>
      </c>
      <c r="AD118" s="146">
        <f t="shared" si="10"/>
        <v>1.55E-2</v>
      </c>
      <c r="AE118" s="146">
        <f t="shared" si="10"/>
        <v>1.2E-2</v>
      </c>
      <c r="AF118" s="146">
        <f t="shared" si="10"/>
        <v>1.55E-2</v>
      </c>
      <c r="AG118" s="146">
        <f t="shared" si="10"/>
        <v>1.2E-2</v>
      </c>
      <c r="AH118" s="146">
        <f t="shared" si="10"/>
        <v>9.7000000000000003E-3</v>
      </c>
      <c r="AI118" s="146">
        <f t="shared" si="10"/>
        <v>3.0999999999999999E-3</v>
      </c>
    </row>
    <row r="119" spans="4:35" ht="20.100000000000001" customHeight="1" x14ac:dyDescent="0.25">
      <c r="D119" s="470" t="s">
        <v>203</v>
      </c>
      <c r="E119" s="471" t="s">
        <v>204</v>
      </c>
      <c r="F119" s="146">
        <f t="shared" ref="F119:AI119" si="11">F96+F104</f>
        <v>2.4500000000000001E-2</v>
      </c>
      <c r="G119" s="146">
        <f t="shared" si="11"/>
        <v>1.04E-2</v>
      </c>
      <c r="H119" s="146">
        <f t="shared" si="11"/>
        <v>2.4500000000000001E-2</v>
      </c>
      <c r="I119" s="146">
        <f t="shared" si="11"/>
        <v>1.7899999999999999E-2</v>
      </c>
      <c r="J119" s="146">
        <f t="shared" si="11"/>
        <v>2.4500000000000001E-2</v>
      </c>
      <c r="K119" s="146">
        <f t="shared" si="11"/>
        <v>7.4999999999999997E-3</v>
      </c>
      <c r="L119" s="146">
        <f t="shared" si="11"/>
        <v>0</v>
      </c>
      <c r="M119" s="146">
        <f t="shared" si="11"/>
        <v>0</v>
      </c>
      <c r="N119" s="146">
        <f t="shared" si="11"/>
        <v>2.4500000000000001E-2</v>
      </c>
      <c r="O119" s="146">
        <f t="shared" si="11"/>
        <v>1.49E-2</v>
      </c>
      <c r="P119" s="146">
        <f t="shared" si="11"/>
        <v>2.4500000000000001E-2</v>
      </c>
      <c r="Q119" s="146">
        <f t="shared" si="11"/>
        <v>1.2E-2</v>
      </c>
      <c r="R119" s="146">
        <f t="shared" si="11"/>
        <v>2.4500000000000001E-2</v>
      </c>
      <c r="S119" s="146">
        <f t="shared" si="11"/>
        <v>1.49E-2</v>
      </c>
      <c r="T119" s="146">
        <f t="shared" si="11"/>
        <v>2.4500000000000001E-2</v>
      </c>
      <c r="U119" s="146">
        <f t="shared" si="11"/>
        <v>1.49E-2</v>
      </c>
      <c r="V119" s="146">
        <f t="shared" si="11"/>
        <v>2.4500000000000001E-2</v>
      </c>
      <c r="W119" s="146">
        <f t="shared" si="11"/>
        <v>1.2E-2</v>
      </c>
      <c r="X119" s="146">
        <f t="shared" si="11"/>
        <v>2.4500000000000001E-2</v>
      </c>
      <c r="Y119" s="146">
        <f t="shared" si="11"/>
        <v>1.7899999999999999E-2</v>
      </c>
      <c r="Z119" s="146">
        <f t="shared" si="11"/>
        <v>2.4500000000000001E-2</v>
      </c>
      <c r="AA119" s="146">
        <f t="shared" si="11"/>
        <v>1.3399999999999999E-2</v>
      </c>
      <c r="AB119" s="146">
        <f t="shared" si="11"/>
        <v>2.4500000000000001E-2</v>
      </c>
      <c r="AC119" s="146">
        <f t="shared" si="11"/>
        <v>1.04E-2</v>
      </c>
      <c r="AD119" s="146">
        <f t="shared" si="11"/>
        <v>2.4500000000000001E-2</v>
      </c>
      <c r="AE119" s="146">
        <f t="shared" si="11"/>
        <v>1.7899999999999999E-2</v>
      </c>
      <c r="AF119" s="146">
        <f t="shared" si="11"/>
        <v>2.4500000000000001E-2</v>
      </c>
      <c r="AG119" s="146">
        <f t="shared" si="11"/>
        <v>1.7899999999999999E-2</v>
      </c>
      <c r="AH119" s="146">
        <f t="shared" si="11"/>
        <v>1.5299999999999999E-2</v>
      </c>
      <c r="AI119" s="146">
        <f t="shared" si="11"/>
        <v>4.7000000000000002E-3</v>
      </c>
    </row>
    <row r="120" spans="4:35" ht="20.100000000000001" customHeight="1" x14ac:dyDescent="0.25">
      <c r="D120" s="472" t="s">
        <v>269</v>
      </c>
      <c r="E120" s="473" t="s">
        <v>270</v>
      </c>
      <c r="F120" s="146">
        <f t="shared" ref="F120:AI120" si="12">F87</f>
        <v>2.0000000000000002E-5</v>
      </c>
      <c r="G120" s="146">
        <f t="shared" si="12"/>
        <v>1.5E-5</v>
      </c>
      <c r="H120" s="146">
        <f t="shared" si="12"/>
        <v>2.0000000000000002E-5</v>
      </c>
      <c r="I120" s="146">
        <f t="shared" si="12"/>
        <v>3.3000000000000003E-5</v>
      </c>
      <c r="J120" s="146">
        <f t="shared" si="12"/>
        <v>2.0000000000000002E-5</v>
      </c>
      <c r="K120" s="146">
        <f t="shared" si="12"/>
        <v>1.0000000000000001E-5</v>
      </c>
      <c r="L120" s="146">
        <f t="shared" si="12"/>
        <v>0</v>
      </c>
      <c r="M120" s="146">
        <f t="shared" si="12"/>
        <v>0</v>
      </c>
      <c r="N120" s="146">
        <f t="shared" si="12"/>
        <v>2.0000000000000002E-5</v>
      </c>
      <c r="O120" s="146">
        <f t="shared" si="12"/>
        <v>7.9999999999999996E-6</v>
      </c>
      <c r="P120" s="146">
        <f t="shared" si="12"/>
        <v>2.0000000000000002E-5</v>
      </c>
      <c r="Q120" s="146">
        <f t="shared" si="12"/>
        <v>1.2E-5</v>
      </c>
      <c r="R120" s="146">
        <f t="shared" si="12"/>
        <v>2.0000000000000002E-5</v>
      </c>
      <c r="S120" s="146">
        <f t="shared" si="12"/>
        <v>6.9999999999999999E-6</v>
      </c>
      <c r="T120" s="146">
        <f t="shared" si="12"/>
        <v>2.0000000000000002E-5</v>
      </c>
      <c r="U120" s="146">
        <f t="shared" si="12"/>
        <v>1.7E-5</v>
      </c>
      <c r="V120" s="146">
        <f t="shared" si="12"/>
        <v>2.0000000000000002E-5</v>
      </c>
      <c r="W120" s="146">
        <f t="shared" si="12"/>
        <v>7.9999999999999996E-6</v>
      </c>
      <c r="X120" s="146">
        <f t="shared" si="12"/>
        <v>2.0000000000000002E-5</v>
      </c>
      <c r="Y120" s="146">
        <f t="shared" si="12"/>
        <v>1.7E-5</v>
      </c>
      <c r="Z120" s="146">
        <f t="shared" si="12"/>
        <v>2.0000000000000002E-5</v>
      </c>
      <c r="AA120" s="146">
        <f t="shared" si="12"/>
        <v>1.5E-5</v>
      </c>
      <c r="AB120" s="146">
        <f t="shared" si="12"/>
        <v>2.0000000000000002E-5</v>
      </c>
      <c r="AC120" s="146">
        <f t="shared" si="12"/>
        <v>6.0000000000000002E-6</v>
      </c>
      <c r="AD120" s="146">
        <f t="shared" si="12"/>
        <v>2.0000000000000002E-5</v>
      </c>
      <c r="AE120" s="146">
        <f t="shared" si="12"/>
        <v>2.3E-5</v>
      </c>
      <c r="AF120" s="146">
        <f t="shared" si="12"/>
        <v>2.0000000000000002E-5</v>
      </c>
      <c r="AG120" s="146">
        <f t="shared" si="12"/>
        <v>1.0000000000000001E-5</v>
      </c>
      <c r="AH120" s="146">
        <f t="shared" si="12"/>
        <v>2.0000000000000002E-5</v>
      </c>
      <c r="AI120" s="146">
        <f t="shared" si="12"/>
        <v>3.9999999999999998E-6</v>
      </c>
    </row>
    <row r="121" spans="4:35" ht="20.100000000000001" customHeight="1" x14ac:dyDescent="0.25">
      <c r="D121" s="468" t="s">
        <v>161</v>
      </c>
      <c r="E121" s="469" t="s">
        <v>162</v>
      </c>
      <c r="F121" s="146">
        <f t="shared" ref="F121:AI121" si="13">F13+F23+F31+F38+F45+F53+F62+F71+F91+F99</f>
        <v>0.16303420000000002</v>
      </c>
      <c r="G121" s="146">
        <f t="shared" si="13"/>
        <v>7.2688299999999997E-2</v>
      </c>
      <c r="H121" s="146">
        <f t="shared" si="13"/>
        <v>0.16900320000000002</v>
      </c>
      <c r="I121" s="146">
        <f t="shared" si="13"/>
        <v>0.12760045</v>
      </c>
      <c r="J121" s="146">
        <f t="shared" si="13"/>
        <v>0.24360000000000001</v>
      </c>
      <c r="K121" s="146">
        <f t="shared" si="13"/>
        <v>0.12739999999999999</v>
      </c>
      <c r="L121" s="146">
        <f t="shared" si="13"/>
        <v>0</v>
      </c>
      <c r="M121" s="146">
        <f t="shared" si="13"/>
        <v>0</v>
      </c>
      <c r="N121" s="146">
        <f t="shared" si="13"/>
        <v>0.16000229999999999</v>
      </c>
      <c r="O121" s="146">
        <f t="shared" si="13"/>
        <v>9.9807050000000008E-2</v>
      </c>
      <c r="P121" s="146">
        <f t="shared" si="13"/>
        <v>0.16000020000000001</v>
      </c>
      <c r="Q121" s="146">
        <f t="shared" si="13"/>
        <v>7.9800029999999994E-2</v>
      </c>
      <c r="R121" s="146">
        <f t="shared" si="13"/>
        <v>0.16000229999999999</v>
      </c>
      <c r="S121" s="146">
        <f t="shared" si="13"/>
        <v>9.9808050000000009E-2</v>
      </c>
      <c r="T121" s="146">
        <f t="shared" si="13"/>
        <v>0.16000020000000001</v>
      </c>
      <c r="U121" s="146">
        <f t="shared" si="13"/>
        <v>9.9800029999999998E-2</v>
      </c>
      <c r="V121" s="146">
        <f t="shared" si="13"/>
        <v>0.16000200000000001</v>
      </c>
      <c r="W121" s="146">
        <f t="shared" si="13"/>
        <v>7.980799999999999E-2</v>
      </c>
      <c r="X121" s="146">
        <f t="shared" si="13"/>
        <v>0.16000039999999999</v>
      </c>
      <c r="Y121" s="146">
        <f t="shared" si="13"/>
        <v>0.11940010000000001</v>
      </c>
      <c r="Z121" s="146">
        <f t="shared" si="13"/>
        <v>0.16000030000000001</v>
      </c>
      <c r="AA121" s="146">
        <f t="shared" si="13"/>
        <v>8.9700019999999991E-2</v>
      </c>
      <c r="AB121" s="146">
        <f t="shared" si="13"/>
        <v>0.16000200000000001</v>
      </c>
      <c r="AC121" s="146">
        <f t="shared" si="13"/>
        <v>6.9708999999999993E-2</v>
      </c>
      <c r="AD121" s="146">
        <f t="shared" si="13"/>
        <v>0.16000039999999999</v>
      </c>
      <c r="AE121" s="146">
        <f t="shared" si="13"/>
        <v>0.11940010000000001</v>
      </c>
      <c r="AF121" s="146">
        <f t="shared" si="13"/>
        <v>0.16000020000000001</v>
      </c>
      <c r="AG121" s="146">
        <f t="shared" si="13"/>
        <v>0.11940002</v>
      </c>
      <c r="AH121" s="146">
        <f t="shared" si="13"/>
        <v>0.1</v>
      </c>
      <c r="AI121" s="146">
        <f t="shared" si="13"/>
        <v>3.1099999999999999E-2</v>
      </c>
    </row>
    <row r="122" spans="4:35" ht="20.100000000000001" customHeight="1" x14ac:dyDescent="0.25">
      <c r="D122" s="468" t="s">
        <v>149</v>
      </c>
      <c r="E122" s="469" t="s">
        <v>150</v>
      </c>
      <c r="F122" s="146">
        <f t="shared" ref="F122:AI122" si="14">F7+F17+F25+F32+F39+F47+F56+F65</f>
        <v>2.0000000000000001E-4</v>
      </c>
      <c r="G122" s="146">
        <f t="shared" si="14"/>
        <v>2.0000000000000001E-4</v>
      </c>
      <c r="H122" s="146">
        <f t="shared" si="14"/>
        <v>6.0000000000000006E-4</v>
      </c>
      <c r="I122" s="146">
        <f t="shared" si="14"/>
        <v>5.0000000000000001E-4</v>
      </c>
      <c r="J122" s="146">
        <f t="shared" si="14"/>
        <v>4.7999999999999987E-3</v>
      </c>
      <c r="K122" s="146">
        <f t="shared" si="14"/>
        <v>4.3399999999999992E-3</v>
      </c>
      <c r="L122" s="146">
        <f t="shared" si="14"/>
        <v>0</v>
      </c>
      <c r="M122" s="146">
        <f t="shared" si="14"/>
        <v>0</v>
      </c>
      <c r="N122" s="146">
        <f t="shared" si="14"/>
        <v>0</v>
      </c>
      <c r="O122" s="146">
        <f t="shared" si="14"/>
        <v>0</v>
      </c>
      <c r="P122" s="146">
        <f t="shared" si="14"/>
        <v>0</v>
      </c>
      <c r="Q122" s="146">
        <f t="shared" si="14"/>
        <v>0</v>
      </c>
      <c r="R122" s="146">
        <f t="shared" si="14"/>
        <v>0</v>
      </c>
      <c r="S122" s="146">
        <f t="shared" si="14"/>
        <v>0</v>
      </c>
      <c r="T122" s="146">
        <f t="shared" si="14"/>
        <v>0</v>
      </c>
      <c r="U122" s="146">
        <f t="shared" si="14"/>
        <v>0</v>
      </c>
      <c r="V122" s="146">
        <f t="shared" si="14"/>
        <v>0</v>
      </c>
      <c r="W122" s="146">
        <f t="shared" si="14"/>
        <v>0</v>
      </c>
      <c r="X122" s="146">
        <f t="shared" si="14"/>
        <v>0</v>
      </c>
      <c r="Y122" s="146">
        <f t="shared" si="14"/>
        <v>0</v>
      </c>
      <c r="Z122" s="146">
        <f t="shared" si="14"/>
        <v>0</v>
      </c>
      <c r="AA122" s="146">
        <f t="shared" si="14"/>
        <v>0</v>
      </c>
      <c r="AB122" s="146">
        <f t="shared" si="14"/>
        <v>0</v>
      </c>
      <c r="AC122" s="146">
        <f t="shared" si="14"/>
        <v>0</v>
      </c>
      <c r="AD122" s="146">
        <f t="shared" si="14"/>
        <v>0</v>
      </c>
      <c r="AE122" s="146">
        <f t="shared" si="14"/>
        <v>0</v>
      </c>
      <c r="AF122" s="146">
        <f t="shared" si="14"/>
        <v>0</v>
      </c>
      <c r="AG122" s="146">
        <f t="shared" si="14"/>
        <v>0</v>
      </c>
      <c r="AH122" s="146">
        <f t="shared" si="14"/>
        <v>0</v>
      </c>
      <c r="AI122" s="146">
        <f t="shared" si="14"/>
        <v>0</v>
      </c>
    </row>
    <row r="123" spans="4:35" ht="20.100000000000001" customHeight="1" x14ac:dyDescent="0.25">
      <c r="D123" s="468" t="s">
        <v>156</v>
      </c>
      <c r="E123" s="469" t="s">
        <v>157</v>
      </c>
      <c r="F123" s="146">
        <f t="shared" ref="F123:AI123" si="15">F10+F20+F28+F35+F42+F50+F59+F68</f>
        <v>6.9999999999999999E-4</v>
      </c>
      <c r="G123" s="146">
        <f t="shared" si="15"/>
        <v>6.9999999999999999E-4</v>
      </c>
      <c r="H123" s="146">
        <f t="shared" si="15"/>
        <v>2.0999999999999999E-3</v>
      </c>
      <c r="I123" s="146">
        <f t="shared" si="15"/>
        <v>2E-3</v>
      </c>
      <c r="J123" s="146">
        <f t="shared" si="15"/>
        <v>2.0599999999999997E-2</v>
      </c>
      <c r="K123" s="146">
        <f t="shared" si="15"/>
        <v>1.9399999999999997E-2</v>
      </c>
      <c r="L123" s="146">
        <f t="shared" si="15"/>
        <v>0</v>
      </c>
      <c r="M123" s="146">
        <f t="shared" si="15"/>
        <v>0</v>
      </c>
      <c r="N123" s="146">
        <f t="shared" si="15"/>
        <v>0</v>
      </c>
      <c r="O123" s="146">
        <f t="shared" si="15"/>
        <v>0</v>
      </c>
      <c r="P123" s="146">
        <f t="shared" si="15"/>
        <v>0</v>
      </c>
      <c r="Q123" s="146">
        <f t="shared" si="15"/>
        <v>0</v>
      </c>
      <c r="R123" s="146">
        <f t="shared" si="15"/>
        <v>0</v>
      </c>
      <c r="S123" s="146">
        <f t="shared" si="15"/>
        <v>0</v>
      </c>
      <c r="T123" s="146">
        <f t="shared" si="15"/>
        <v>0</v>
      </c>
      <c r="U123" s="146">
        <f t="shared" si="15"/>
        <v>0</v>
      </c>
      <c r="V123" s="146">
        <f t="shared" si="15"/>
        <v>0</v>
      </c>
      <c r="W123" s="146">
        <f t="shared" si="15"/>
        <v>0</v>
      </c>
      <c r="X123" s="146">
        <f t="shared" si="15"/>
        <v>0</v>
      </c>
      <c r="Y123" s="146">
        <f t="shared" si="15"/>
        <v>0</v>
      </c>
      <c r="Z123" s="146">
        <f t="shared" si="15"/>
        <v>0</v>
      </c>
      <c r="AA123" s="146">
        <f t="shared" si="15"/>
        <v>0</v>
      </c>
      <c r="AB123" s="146">
        <f t="shared" si="15"/>
        <v>0</v>
      </c>
      <c r="AC123" s="146">
        <f t="shared" si="15"/>
        <v>0</v>
      </c>
      <c r="AD123" s="146">
        <f t="shared" si="15"/>
        <v>0</v>
      </c>
      <c r="AE123" s="146">
        <f t="shared" si="15"/>
        <v>0</v>
      </c>
      <c r="AF123" s="146">
        <f t="shared" si="15"/>
        <v>0</v>
      </c>
      <c r="AG123" s="146">
        <f t="shared" si="15"/>
        <v>0</v>
      </c>
      <c r="AH123" s="146">
        <f t="shared" si="15"/>
        <v>0</v>
      </c>
      <c r="AI123" s="146">
        <f t="shared" si="15"/>
        <v>0</v>
      </c>
    </row>
    <row r="124" spans="4:35" ht="20.100000000000001" customHeight="1" x14ac:dyDescent="0.25">
      <c r="D124" s="475" t="s">
        <v>639</v>
      </c>
      <c r="E124" s="476" t="s">
        <v>640</v>
      </c>
      <c r="F124" s="146">
        <f t="shared" ref="F124:AI124" si="16">F106+F98</f>
        <v>2.9999999999999999E-7</v>
      </c>
      <c r="G124" s="146">
        <f t="shared" si="16"/>
        <v>1.3E-7</v>
      </c>
      <c r="H124" s="146">
        <f t="shared" si="16"/>
        <v>2.9999999999999999E-7</v>
      </c>
      <c r="I124" s="146">
        <f t="shared" si="16"/>
        <v>2.3699999999999999E-7</v>
      </c>
      <c r="J124" s="146">
        <f t="shared" si="16"/>
        <v>2.9999999999999999E-7</v>
      </c>
      <c r="K124" s="146">
        <f t="shared" si="16"/>
        <v>8.6999999999999998E-8</v>
      </c>
      <c r="L124" s="146">
        <f t="shared" si="16"/>
        <v>0</v>
      </c>
      <c r="M124" s="146">
        <f t="shared" si="16"/>
        <v>0</v>
      </c>
      <c r="N124" s="146">
        <f t="shared" si="16"/>
        <v>2.9999999999999999E-7</v>
      </c>
      <c r="O124" s="146">
        <f t="shared" si="16"/>
        <v>2.1399999999999998E-7</v>
      </c>
      <c r="P124" s="146">
        <f t="shared" si="16"/>
        <v>2.9999999999999999E-7</v>
      </c>
      <c r="Q124" s="146">
        <f t="shared" si="16"/>
        <v>1.91E-7</v>
      </c>
      <c r="R124" s="146">
        <f t="shared" si="16"/>
        <v>2.9999999999999999E-7</v>
      </c>
      <c r="S124" s="146">
        <f t="shared" si="16"/>
        <v>2.1399999999999998E-7</v>
      </c>
      <c r="T124" s="146">
        <f t="shared" si="16"/>
        <v>2.9999999999999999E-7</v>
      </c>
      <c r="U124" s="146">
        <f t="shared" si="16"/>
        <v>2.1399999999999998E-7</v>
      </c>
      <c r="V124" s="146">
        <f t="shared" si="16"/>
        <v>2.9999999999999999E-7</v>
      </c>
      <c r="W124" s="146">
        <f t="shared" si="16"/>
        <v>1.91E-7</v>
      </c>
      <c r="X124" s="146">
        <f t="shared" si="16"/>
        <v>2.9999999999999999E-7</v>
      </c>
      <c r="Y124" s="146">
        <f t="shared" si="16"/>
        <v>2.3699999999999999E-7</v>
      </c>
      <c r="Z124" s="146">
        <f t="shared" si="16"/>
        <v>2.9999999999999999E-7</v>
      </c>
      <c r="AA124" s="146">
        <f t="shared" si="16"/>
        <v>2.03E-7</v>
      </c>
      <c r="AB124" s="146">
        <f t="shared" si="16"/>
        <v>2.9999999999999999E-7</v>
      </c>
      <c r="AC124" s="146">
        <f t="shared" si="16"/>
        <v>1.3E-7</v>
      </c>
      <c r="AD124" s="146">
        <f t="shared" si="16"/>
        <v>2.9999999999999999E-7</v>
      </c>
      <c r="AE124" s="146">
        <f t="shared" si="16"/>
        <v>2.3699999999999999E-7</v>
      </c>
      <c r="AF124" s="146">
        <f t="shared" si="16"/>
        <v>2.9999999999999999E-7</v>
      </c>
      <c r="AG124" s="146">
        <f t="shared" si="16"/>
        <v>2.3699999999999999E-7</v>
      </c>
      <c r="AH124" s="146">
        <f t="shared" si="16"/>
        <v>1.9999999999999999E-7</v>
      </c>
      <c r="AI124" s="146">
        <f t="shared" si="16"/>
        <v>5.7000000000000001E-8</v>
      </c>
    </row>
    <row r="125" spans="4:35" ht="20.100000000000001" customHeight="1" x14ac:dyDescent="0.25">
      <c r="D125" s="474" t="s">
        <v>171</v>
      </c>
      <c r="E125" s="469" t="s">
        <v>172</v>
      </c>
      <c r="F125" s="146">
        <f t="shared" ref="F125:AI125" si="17">F14+F24+F54+F63+F72</f>
        <v>1.4400000000000001E-5</v>
      </c>
      <c r="G125" s="146">
        <f t="shared" si="17"/>
        <v>3.8099999999999998E-5</v>
      </c>
      <c r="H125" s="146">
        <f t="shared" si="17"/>
        <v>1.2999999999999998E-6</v>
      </c>
      <c r="I125" s="146">
        <f t="shared" si="17"/>
        <v>1.5999999999999998E-7</v>
      </c>
      <c r="J125" s="146">
        <f t="shared" si="17"/>
        <v>0</v>
      </c>
      <c r="K125" s="146">
        <f t="shared" si="17"/>
        <v>0</v>
      </c>
      <c r="L125" s="146">
        <f t="shared" si="17"/>
        <v>0</v>
      </c>
      <c r="M125" s="146">
        <f t="shared" si="17"/>
        <v>0</v>
      </c>
      <c r="N125" s="146">
        <f t="shared" si="17"/>
        <v>1.1000000000000001E-6</v>
      </c>
      <c r="O125" s="146">
        <f t="shared" si="17"/>
        <v>3.0199999999999999E-6</v>
      </c>
      <c r="P125" s="146">
        <f t="shared" si="17"/>
        <v>9.9999999999999995E-8</v>
      </c>
      <c r="Q125" s="146">
        <f t="shared" si="17"/>
        <v>1E-8</v>
      </c>
      <c r="R125" s="146">
        <f t="shared" si="17"/>
        <v>1.1000000000000001E-6</v>
      </c>
      <c r="S125" s="146">
        <f t="shared" si="17"/>
        <v>3.0199999999999999E-6</v>
      </c>
      <c r="T125" s="146">
        <f t="shared" si="17"/>
        <v>9.9999999999999995E-8</v>
      </c>
      <c r="U125" s="146">
        <f t="shared" si="17"/>
        <v>1E-8</v>
      </c>
      <c r="V125" s="146">
        <f t="shared" si="17"/>
        <v>9.9999999999999995E-7</v>
      </c>
      <c r="W125" s="146">
        <f t="shared" si="17"/>
        <v>3.9999999999999998E-6</v>
      </c>
      <c r="X125" s="146">
        <f t="shared" si="17"/>
        <v>9.9999999999999995E-8</v>
      </c>
      <c r="Y125" s="146">
        <f t="shared" si="17"/>
        <v>2.9999999999999997E-8</v>
      </c>
      <c r="Z125" s="146">
        <f t="shared" si="17"/>
        <v>9.9999999999999995E-8</v>
      </c>
      <c r="AA125" s="146">
        <f t="shared" si="17"/>
        <v>1E-8</v>
      </c>
      <c r="AB125" s="146">
        <f t="shared" si="17"/>
        <v>9.9999999999999995E-7</v>
      </c>
      <c r="AC125" s="146">
        <f t="shared" si="17"/>
        <v>3.9999999999999998E-6</v>
      </c>
      <c r="AD125" s="146">
        <f t="shared" si="17"/>
        <v>9.9999999999999995E-8</v>
      </c>
      <c r="AE125" s="146">
        <f t="shared" si="17"/>
        <v>2E-8</v>
      </c>
      <c r="AF125" s="146">
        <f t="shared" si="17"/>
        <v>9.9999999999999995E-8</v>
      </c>
      <c r="AG125" s="146">
        <f t="shared" si="17"/>
        <v>1E-8</v>
      </c>
      <c r="AH125" s="146">
        <f t="shared" si="17"/>
        <v>0</v>
      </c>
      <c r="AI125" s="146">
        <f t="shared" si="17"/>
        <v>0</v>
      </c>
    </row>
    <row r="126" spans="4:35" ht="20.100000000000001" customHeight="1" x14ac:dyDescent="0.25">
      <c r="D126" s="477" t="s">
        <v>248</v>
      </c>
      <c r="E126" s="478" t="s">
        <v>249</v>
      </c>
      <c r="F126" s="146">
        <f t="shared" ref="F126" si="18">F97+F105</f>
        <v>3.3999999999999998E-3</v>
      </c>
      <c r="G126" s="146">
        <f t="shared" ref="G126:AI126" si="19">G97+G105</f>
        <v>1.39E-3</v>
      </c>
      <c r="H126" s="146">
        <f t="shared" si="19"/>
        <v>3.3999999999999998E-3</v>
      </c>
      <c r="I126" s="146">
        <f t="shared" si="19"/>
        <v>2.3899999999999998E-3</v>
      </c>
      <c r="J126" s="146">
        <f t="shared" si="19"/>
        <v>3.3999999999999998E-3</v>
      </c>
      <c r="K126" s="146">
        <f t="shared" si="19"/>
        <v>9.8999999999999999E-4</v>
      </c>
      <c r="L126" s="146">
        <f t="shared" si="19"/>
        <v>0</v>
      </c>
      <c r="M126" s="146">
        <f t="shared" si="19"/>
        <v>0</v>
      </c>
      <c r="N126" s="146">
        <f t="shared" si="19"/>
        <v>3.3999999999999998E-3</v>
      </c>
      <c r="O126" s="146">
        <f t="shared" si="19"/>
        <v>2E-3</v>
      </c>
      <c r="P126" s="146">
        <f t="shared" si="19"/>
        <v>3.3999999999999998E-3</v>
      </c>
      <c r="Q126" s="146">
        <f t="shared" si="19"/>
        <v>1.5999999999999999E-3</v>
      </c>
      <c r="R126" s="146">
        <f t="shared" si="19"/>
        <v>3.3999999999999998E-3</v>
      </c>
      <c r="S126" s="146">
        <f t="shared" si="19"/>
        <v>2E-3</v>
      </c>
      <c r="T126" s="146">
        <f t="shared" si="19"/>
        <v>3.3999999999999998E-3</v>
      </c>
      <c r="U126" s="146">
        <f t="shared" si="19"/>
        <v>2E-3</v>
      </c>
      <c r="V126" s="146">
        <f t="shared" si="19"/>
        <v>3.3999999999999998E-3</v>
      </c>
      <c r="W126" s="146">
        <f t="shared" si="19"/>
        <v>1.5999999999999999E-3</v>
      </c>
      <c r="X126" s="146">
        <f t="shared" si="19"/>
        <v>3.3999999999999998E-3</v>
      </c>
      <c r="Y126" s="146">
        <f t="shared" si="19"/>
        <v>2.3800000000000002E-3</v>
      </c>
      <c r="Z126" s="146">
        <f t="shared" si="19"/>
        <v>3.3999999999999998E-3</v>
      </c>
      <c r="AA126" s="146">
        <f t="shared" si="19"/>
        <v>1.7899999999999999E-3</v>
      </c>
      <c r="AB126" s="146">
        <f t="shared" si="19"/>
        <v>3.3999999999999998E-3</v>
      </c>
      <c r="AC126" s="146">
        <f t="shared" si="19"/>
        <v>1.39E-3</v>
      </c>
      <c r="AD126" s="146">
        <f t="shared" si="19"/>
        <v>3.3999999999999998E-3</v>
      </c>
      <c r="AE126" s="146">
        <f t="shared" si="19"/>
        <v>2.3800000000000002E-3</v>
      </c>
      <c r="AF126" s="146">
        <f t="shared" si="19"/>
        <v>3.3999999999999998E-3</v>
      </c>
      <c r="AG126" s="146">
        <f t="shared" si="19"/>
        <v>2.3800000000000002E-3</v>
      </c>
      <c r="AH126" s="146">
        <f t="shared" si="19"/>
        <v>2.0999999999999999E-3</v>
      </c>
      <c r="AI126" s="146">
        <f t="shared" si="19"/>
        <v>6.2E-4</v>
      </c>
    </row>
    <row r="127" spans="4:35" ht="20.100000000000001" customHeight="1" x14ac:dyDescent="0.25">
      <c r="D127" s="479" t="s">
        <v>268</v>
      </c>
      <c r="E127" s="480">
        <v>2754</v>
      </c>
      <c r="F127" s="146">
        <f t="shared" ref="F127:AI127" si="20">F86+F94+F102</f>
        <v>8.6300000000000002E-2</v>
      </c>
      <c r="G127" s="146">
        <f t="shared" si="20"/>
        <v>4.0300000000000002E-2</v>
      </c>
      <c r="H127" s="146">
        <f t="shared" si="20"/>
        <v>8.6300000000000002E-2</v>
      </c>
      <c r="I127" s="146">
        <f t="shared" si="20"/>
        <v>7.1400000000000005E-2</v>
      </c>
      <c r="J127" s="146">
        <f t="shared" si="20"/>
        <v>8.6300000000000002E-2</v>
      </c>
      <c r="K127" s="146">
        <f t="shared" si="20"/>
        <v>2.844E-2</v>
      </c>
      <c r="L127" s="146">
        <f t="shared" si="20"/>
        <v>0</v>
      </c>
      <c r="M127" s="146">
        <f t="shared" si="20"/>
        <v>0</v>
      </c>
      <c r="N127" s="146">
        <f t="shared" si="20"/>
        <v>8.6300000000000002E-2</v>
      </c>
      <c r="O127" s="146">
        <f t="shared" si="20"/>
        <v>5.2900000000000003E-2</v>
      </c>
      <c r="P127" s="146">
        <f t="shared" si="20"/>
        <v>8.6300000000000002E-2</v>
      </c>
      <c r="Q127" s="146">
        <f t="shared" si="20"/>
        <v>4.4060000000000002E-2</v>
      </c>
      <c r="R127" s="146">
        <f t="shared" si="20"/>
        <v>8.6300000000000002E-2</v>
      </c>
      <c r="S127" s="146">
        <f t="shared" si="20"/>
        <v>5.2290000000000003E-2</v>
      </c>
      <c r="T127" s="146">
        <f t="shared" si="20"/>
        <v>8.6300000000000002E-2</v>
      </c>
      <c r="U127" s="146">
        <f t="shared" si="20"/>
        <v>5.5969999999999999E-2</v>
      </c>
      <c r="V127" s="146">
        <f t="shared" si="20"/>
        <v>8.6300000000000002E-2</v>
      </c>
      <c r="W127" s="146">
        <f t="shared" si="20"/>
        <v>4.2700000000000002E-2</v>
      </c>
      <c r="X127" s="146">
        <f t="shared" si="20"/>
        <v>8.6300000000000002E-2</v>
      </c>
      <c r="Y127" s="146">
        <f t="shared" si="20"/>
        <v>6.5879999999999994E-2</v>
      </c>
      <c r="Z127" s="146">
        <f t="shared" si="20"/>
        <v>8.6300000000000002E-2</v>
      </c>
      <c r="AA127" s="146">
        <f t="shared" si="20"/>
        <v>5.0099999999999999E-2</v>
      </c>
      <c r="AB127" s="146">
        <f t="shared" si="20"/>
        <v>8.6300000000000002E-2</v>
      </c>
      <c r="AC127" s="146">
        <f t="shared" si="20"/>
        <v>3.721E-2</v>
      </c>
      <c r="AD127" s="146">
        <f t="shared" si="20"/>
        <v>8.6300000000000002E-2</v>
      </c>
      <c r="AE127" s="146">
        <f t="shared" si="20"/>
        <v>6.7970000000000003E-2</v>
      </c>
      <c r="AF127" s="146">
        <f t="shared" si="20"/>
        <v>8.6300000000000002E-2</v>
      </c>
      <c r="AG127" s="146">
        <f t="shared" si="20"/>
        <v>6.3289999999999999E-2</v>
      </c>
      <c r="AH127" s="146">
        <f t="shared" si="20"/>
        <v>5.6300000000000003E-2</v>
      </c>
      <c r="AI127" s="146">
        <f t="shared" si="20"/>
        <v>1.712E-2</v>
      </c>
    </row>
    <row r="128" spans="4:35" ht="20.100000000000001" customHeight="1" x14ac:dyDescent="0.25">
      <c r="D128" s="481" t="s">
        <v>56</v>
      </c>
      <c r="E128" s="482" t="s">
        <v>57</v>
      </c>
      <c r="F128" s="237">
        <f t="shared" ref="F128:AI128" si="21">F5+F6+F12+F15+F16+F22+F30+F37+F44+F46+F52+F55+F61+F64+F70+F73+F74+F75+F76+F77+F78+F79+F80+F81+F82+F83+F84+F85+F88+F89+F90</f>
        <v>5.1136999999999988</v>
      </c>
      <c r="G128" s="237">
        <f t="shared" si="21"/>
        <v>9.2378999999999998</v>
      </c>
      <c r="H128" s="237">
        <f t="shared" si="21"/>
        <v>1.7410999999999999</v>
      </c>
      <c r="I128" s="237">
        <f t="shared" si="21"/>
        <v>4.7698000000000009</v>
      </c>
      <c r="J128" s="237">
        <f t="shared" si="21"/>
        <v>0.31879999999999997</v>
      </c>
      <c r="K128" s="237">
        <f t="shared" si="21"/>
        <v>0.95872000000000013</v>
      </c>
      <c r="L128" s="237">
        <f t="shared" si="21"/>
        <v>1.6999999999999999E-3</v>
      </c>
      <c r="M128" s="237">
        <f t="shared" si="21"/>
        <v>1.35E-2</v>
      </c>
      <c r="N128" s="237">
        <f t="shared" si="21"/>
        <v>0.75259999999999994</v>
      </c>
      <c r="O128" s="237">
        <f t="shared" si="21"/>
        <v>2.1622000000000003</v>
      </c>
      <c r="P128" s="237">
        <f t="shared" si="21"/>
        <v>0.24230000000000002</v>
      </c>
      <c r="Q128" s="237">
        <f t="shared" si="21"/>
        <v>1.2806999999999999</v>
      </c>
      <c r="R128" s="237">
        <f t="shared" si="21"/>
        <v>0.80859999999999999</v>
      </c>
      <c r="S128" s="237">
        <f t="shared" si="21"/>
        <v>1.93</v>
      </c>
      <c r="T128" s="237">
        <f t="shared" si="21"/>
        <v>0.29879999999999995</v>
      </c>
      <c r="U128" s="237">
        <f t="shared" si="21"/>
        <v>1.6674</v>
      </c>
      <c r="V128" s="237">
        <f t="shared" si="21"/>
        <v>0.7551000000000001</v>
      </c>
      <c r="W128" s="237">
        <f t="shared" si="21"/>
        <v>2.0434999999999999</v>
      </c>
      <c r="X128" s="237">
        <f t="shared" si="21"/>
        <v>0.22320000000000001</v>
      </c>
      <c r="Y128" s="237">
        <f t="shared" si="21"/>
        <v>1.6609000000000003</v>
      </c>
      <c r="Z128" s="237">
        <f t="shared" si="21"/>
        <v>0.1802</v>
      </c>
      <c r="AA128" s="237">
        <f t="shared" si="21"/>
        <v>0.88049999999999995</v>
      </c>
      <c r="AB128" s="237">
        <f t="shared" si="21"/>
        <v>0.85699999999999998</v>
      </c>
      <c r="AC128" s="237">
        <f t="shared" si="21"/>
        <v>2.4588999999999999</v>
      </c>
      <c r="AD128" s="237">
        <f t="shared" si="21"/>
        <v>0.22950000000000001</v>
      </c>
      <c r="AE128" s="237">
        <f t="shared" si="21"/>
        <v>1.8656999999999999</v>
      </c>
      <c r="AF128" s="237">
        <f t="shared" si="21"/>
        <v>0.25159999999999999</v>
      </c>
      <c r="AG128" s="237">
        <f t="shared" si="21"/>
        <v>1.3721999999999999</v>
      </c>
      <c r="AH128" s="237">
        <f t="shared" si="21"/>
        <v>5.9799999999999999E-2</v>
      </c>
      <c r="AI128" s="237">
        <f t="shared" si="21"/>
        <v>0.1537</v>
      </c>
    </row>
    <row r="129" spans="2:35" ht="20.100000000000001" customHeight="1" x14ac:dyDescent="0.25">
      <c r="D129" s="744" t="s">
        <v>468</v>
      </c>
      <c r="E129" s="745"/>
      <c r="F129" s="148">
        <f t="shared" ref="F129" si="22">SUM(F114:F128)</f>
        <v>5.6231688999999987</v>
      </c>
      <c r="G129" s="148">
        <f t="shared" ref="G129:AI129" si="23">SUM(G114:G128)</f>
        <v>9.4663315299999997</v>
      </c>
      <c r="H129" s="148">
        <f t="shared" si="23"/>
        <v>2.2641247999999998</v>
      </c>
      <c r="I129" s="148">
        <f t="shared" si="23"/>
        <v>5.170923847000001</v>
      </c>
      <c r="J129" s="148">
        <f t="shared" si="23"/>
        <v>1.0127203</v>
      </c>
      <c r="K129" s="148">
        <f t="shared" si="23"/>
        <v>1.2947600870000002</v>
      </c>
      <c r="L129" s="148">
        <f t="shared" si="23"/>
        <v>1.6999999999999999E-3</v>
      </c>
      <c r="M129" s="148">
        <f t="shared" si="23"/>
        <v>1.35E-2</v>
      </c>
      <c r="N129" s="148">
        <f t="shared" si="23"/>
        <v>1.2552236999999999</v>
      </c>
      <c r="O129" s="148">
        <f t="shared" si="23"/>
        <v>2.4748182840000004</v>
      </c>
      <c r="P129" s="148">
        <f t="shared" si="23"/>
        <v>0.74492060000000015</v>
      </c>
      <c r="Q129" s="148">
        <f t="shared" si="23"/>
        <v>1.5325722310000001</v>
      </c>
      <c r="R129" s="148">
        <f t="shared" si="23"/>
        <v>1.3112237</v>
      </c>
      <c r="S129" s="148">
        <f t="shared" si="23"/>
        <v>2.2420082840000002</v>
      </c>
      <c r="T129" s="148">
        <f t="shared" si="23"/>
        <v>0.80142060000000004</v>
      </c>
      <c r="U129" s="148">
        <f t="shared" si="23"/>
        <v>1.983087254</v>
      </c>
      <c r="V129" s="148">
        <f t="shared" si="23"/>
        <v>1.2577233000000001</v>
      </c>
      <c r="W129" s="148">
        <f t="shared" si="23"/>
        <v>2.294020191</v>
      </c>
      <c r="X129" s="148">
        <f t="shared" si="23"/>
        <v>0.72582080000000015</v>
      </c>
      <c r="Y129" s="148">
        <f t="shared" si="23"/>
        <v>2.0376773670000001</v>
      </c>
      <c r="Z129" s="148">
        <f t="shared" si="23"/>
        <v>0.68282070000000006</v>
      </c>
      <c r="AA129" s="148">
        <f t="shared" si="23"/>
        <v>1.1640052329999999</v>
      </c>
      <c r="AB129" s="148">
        <f t="shared" si="23"/>
        <v>1.3596233</v>
      </c>
      <c r="AC129" s="148">
        <f t="shared" si="23"/>
        <v>2.6775191299999999</v>
      </c>
      <c r="AD129" s="148">
        <f t="shared" si="23"/>
        <v>0.73212080000000013</v>
      </c>
      <c r="AE129" s="148">
        <f t="shared" si="23"/>
        <v>2.2445733570000002</v>
      </c>
      <c r="AF129" s="148">
        <f t="shared" si="23"/>
        <v>0.75422060000000002</v>
      </c>
      <c r="AG129" s="148">
        <f t="shared" si="23"/>
        <v>1.7463802669999999</v>
      </c>
      <c r="AH129" s="148">
        <f t="shared" si="23"/>
        <v>0.37622020000000006</v>
      </c>
      <c r="AI129" s="148">
        <f t="shared" si="23"/>
        <v>0.25184405700000001</v>
      </c>
    </row>
    <row r="130" spans="2:35" x14ac:dyDescent="0.25">
      <c r="F130" s="467">
        <f t="shared" ref="F130:AI130" si="24">F107-F129</f>
        <v>0</v>
      </c>
      <c r="G130" s="467">
        <f t="shared" si="24"/>
        <v>0</v>
      </c>
      <c r="H130" s="467">
        <f t="shared" si="24"/>
        <v>0</v>
      </c>
      <c r="I130" s="467">
        <f t="shared" si="24"/>
        <v>0</v>
      </c>
      <c r="J130" s="467">
        <f t="shared" si="24"/>
        <v>0</v>
      </c>
      <c r="K130" s="467">
        <f t="shared" si="24"/>
        <v>0</v>
      </c>
      <c r="L130" s="467">
        <f t="shared" si="24"/>
        <v>0</v>
      </c>
      <c r="M130" s="467">
        <f t="shared" si="24"/>
        <v>0</v>
      </c>
      <c r="N130" s="467">
        <f t="shared" si="24"/>
        <v>0</v>
      </c>
      <c r="O130" s="467">
        <f t="shared" si="24"/>
        <v>0</v>
      </c>
      <c r="P130" s="467">
        <f t="shared" si="24"/>
        <v>0</v>
      </c>
      <c r="Q130" s="467">
        <f t="shared" si="24"/>
        <v>0</v>
      </c>
      <c r="R130" s="467">
        <f t="shared" si="24"/>
        <v>0</v>
      </c>
      <c r="S130" s="467">
        <f t="shared" si="24"/>
        <v>0</v>
      </c>
      <c r="T130" s="467">
        <f t="shared" si="24"/>
        <v>0</v>
      </c>
      <c r="U130" s="467">
        <f t="shared" si="24"/>
        <v>0</v>
      </c>
      <c r="V130" s="467">
        <f t="shared" si="24"/>
        <v>0</v>
      </c>
      <c r="W130" s="467">
        <f t="shared" si="24"/>
        <v>0</v>
      </c>
      <c r="X130" s="467">
        <f t="shared" si="24"/>
        <v>0</v>
      </c>
      <c r="Y130" s="467">
        <f t="shared" si="24"/>
        <v>0</v>
      </c>
      <c r="Z130" s="598">
        <f t="shared" si="24"/>
        <v>0</v>
      </c>
      <c r="AA130" s="598">
        <f t="shared" si="24"/>
        <v>0</v>
      </c>
      <c r="AB130" s="467">
        <f t="shared" si="24"/>
        <v>0</v>
      </c>
      <c r="AC130" s="467">
        <f t="shared" si="24"/>
        <v>0</v>
      </c>
      <c r="AD130" s="467">
        <f t="shared" si="24"/>
        <v>0</v>
      </c>
      <c r="AE130" s="467">
        <f t="shared" si="24"/>
        <v>0</v>
      </c>
      <c r="AF130" s="467">
        <f t="shared" si="24"/>
        <v>0</v>
      </c>
      <c r="AG130" s="467">
        <f t="shared" si="24"/>
        <v>0</v>
      </c>
      <c r="AH130" s="467">
        <f t="shared" si="24"/>
        <v>0</v>
      </c>
      <c r="AI130" s="467">
        <f t="shared" si="24"/>
        <v>0</v>
      </c>
    </row>
    <row r="133" spans="2:35" s="235" customFormat="1" ht="12.75" x14ac:dyDescent="0.2">
      <c r="B133" s="295"/>
      <c r="D133" s="278"/>
      <c r="E133" s="236"/>
      <c r="F133" s="437"/>
      <c r="G133" s="437"/>
      <c r="H133" s="466"/>
      <c r="I133" s="466"/>
      <c r="J133" s="438"/>
      <c r="K133" s="438"/>
      <c r="L133" s="417"/>
      <c r="M133" s="417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419"/>
      <c r="AA133" s="419"/>
      <c r="AB133" s="419"/>
      <c r="AC133" s="419"/>
      <c r="AD133" s="419"/>
      <c r="AE133" s="419"/>
      <c r="AF133" s="419"/>
      <c r="AG133" s="419"/>
      <c r="AH133" s="419"/>
      <c r="AI133" s="419"/>
    </row>
    <row r="134" spans="2:35" s="243" customFormat="1" ht="28.5" customHeight="1" x14ac:dyDescent="0.3">
      <c r="B134" s="764" t="s">
        <v>480</v>
      </c>
      <c r="C134" s="764"/>
      <c r="D134" s="764"/>
      <c r="E134" s="764"/>
      <c r="F134" s="764"/>
      <c r="G134" s="764"/>
      <c r="H134" s="764"/>
      <c r="I134" s="764"/>
      <c r="L134" s="420"/>
      <c r="M134" s="420"/>
      <c r="Z134" s="420"/>
      <c r="AA134" s="420"/>
      <c r="AB134" s="420"/>
      <c r="AC134" s="420"/>
      <c r="AD134" s="420"/>
      <c r="AE134" s="420"/>
      <c r="AF134" s="420"/>
      <c r="AG134" s="420"/>
      <c r="AH134" s="420"/>
      <c r="AI134" s="420"/>
    </row>
    <row r="135" spans="2:35" s="155" customFormat="1" ht="19.5" customHeight="1" thickBot="1" x14ac:dyDescent="0.3">
      <c r="B135" s="95"/>
      <c r="D135" s="271"/>
      <c r="E135" s="156"/>
      <c r="F135" s="751" t="s">
        <v>16</v>
      </c>
      <c r="G135" s="751"/>
      <c r="H135" s="759" t="s">
        <v>97</v>
      </c>
      <c r="I135" s="759"/>
      <c r="J135" s="751" t="s">
        <v>98</v>
      </c>
      <c r="K135" s="751"/>
      <c r="L135" s="751" t="s">
        <v>304</v>
      </c>
      <c r="M135" s="751"/>
      <c r="N135" s="751" t="s">
        <v>103</v>
      </c>
      <c r="O135" s="751"/>
      <c r="P135" s="751" t="s">
        <v>105</v>
      </c>
      <c r="Q135" s="751"/>
      <c r="R135" s="751" t="s">
        <v>109</v>
      </c>
      <c r="S135" s="751"/>
      <c r="T135" s="751" t="s">
        <v>111</v>
      </c>
      <c r="U135" s="751"/>
      <c r="V135" s="751" t="s">
        <v>112</v>
      </c>
      <c r="W135" s="751"/>
      <c r="X135" s="751" t="s">
        <v>114</v>
      </c>
      <c r="Y135" s="751"/>
      <c r="Z135" s="755" t="s">
        <v>115</v>
      </c>
      <c r="AA135" s="755"/>
      <c r="AB135" s="753" t="s">
        <v>119</v>
      </c>
      <c r="AC135" s="753"/>
      <c r="AD135" s="751" t="s">
        <v>121</v>
      </c>
      <c r="AE135" s="751"/>
      <c r="AF135" s="751" t="s">
        <v>122</v>
      </c>
      <c r="AG135" s="751"/>
      <c r="AH135" s="751" t="s">
        <v>123</v>
      </c>
      <c r="AI135" s="751"/>
    </row>
    <row r="136" spans="2:35" s="167" customFormat="1" ht="33" customHeight="1" x14ac:dyDescent="0.25">
      <c r="B136" s="95"/>
      <c r="C136" s="168" t="s">
        <v>469</v>
      </c>
      <c r="D136" s="272" t="s">
        <v>470</v>
      </c>
      <c r="E136" s="169" t="s">
        <v>467</v>
      </c>
      <c r="F136" s="170" t="s">
        <v>54</v>
      </c>
      <c r="G136" s="171" t="s">
        <v>53</v>
      </c>
      <c r="H136" s="504" t="s">
        <v>54</v>
      </c>
      <c r="I136" s="505" t="s">
        <v>53</v>
      </c>
      <c r="J136" s="170" t="s">
        <v>54</v>
      </c>
      <c r="K136" s="507" t="s">
        <v>53</v>
      </c>
      <c r="L136" s="510" t="s">
        <v>54</v>
      </c>
      <c r="M136" s="507" t="s">
        <v>53</v>
      </c>
      <c r="N136" s="170" t="s">
        <v>54</v>
      </c>
      <c r="O136" s="171" t="s">
        <v>53</v>
      </c>
      <c r="P136" s="170" t="s">
        <v>54</v>
      </c>
      <c r="Q136" s="507" t="s">
        <v>53</v>
      </c>
      <c r="R136" s="170" t="s">
        <v>54</v>
      </c>
      <c r="S136" s="507" t="s">
        <v>53</v>
      </c>
      <c r="T136" s="170" t="s">
        <v>54</v>
      </c>
      <c r="U136" s="171" t="s">
        <v>53</v>
      </c>
      <c r="V136" s="517" t="s">
        <v>54</v>
      </c>
      <c r="W136" s="507" t="s">
        <v>53</v>
      </c>
      <c r="X136" s="170" t="s">
        <v>54</v>
      </c>
      <c r="Y136" s="171" t="s">
        <v>53</v>
      </c>
      <c r="Z136" s="616" t="s">
        <v>54</v>
      </c>
      <c r="AA136" s="617" t="s">
        <v>53</v>
      </c>
      <c r="AB136" s="170" t="s">
        <v>54</v>
      </c>
      <c r="AC136" s="507" t="s">
        <v>53</v>
      </c>
      <c r="AD136" s="170" t="s">
        <v>54</v>
      </c>
      <c r="AE136" s="171" t="s">
        <v>53</v>
      </c>
      <c r="AF136" s="170" t="s">
        <v>54</v>
      </c>
      <c r="AG136" s="507" t="s">
        <v>53</v>
      </c>
      <c r="AH136" s="170" t="s">
        <v>54</v>
      </c>
      <c r="AI136" s="171" t="s">
        <v>53</v>
      </c>
    </row>
    <row r="137" spans="2:35" ht="16.5" customHeight="1" x14ac:dyDescent="0.25">
      <c r="B137" s="756" t="s">
        <v>301</v>
      </c>
      <c r="C137" s="164">
        <v>8030</v>
      </c>
      <c r="D137" s="185" t="str">
        <f>'2.10 транспорт'!AC146</f>
        <v>Азота диоксид</v>
      </c>
      <c r="E137" s="186" t="str">
        <f>'2.10 транспорт'!AD146</f>
        <v>0301</v>
      </c>
      <c r="F137" s="187">
        <f>'2.10 транспорт'!AE146</f>
        <v>0.12720000000000001</v>
      </c>
      <c r="G137" s="188">
        <f>'2.10 транспорт'!AF146</f>
        <v>11.442299999999999</v>
      </c>
      <c r="H137" s="227">
        <f>'2.10 транспорт'!AE261</f>
        <v>0.12720000000000001</v>
      </c>
      <c r="I137" s="221">
        <f>'2.10 транспорт'!AF261</f>
        <v>23.689300000000003</v>
      </c>
      <c r="J137" s="238">
        <f>'2.10 транспорт'!AE364</f>
        <v>0.12720000000000001</v>
      </c>
      <c r="K137" s="186">
        <f>'2.10 транспорт'!AF364</f>
        <v>7.3048999999999999</v>
      </c>
      <c r="L137" s="511"/>
      <c r="M137" s="163"/>
      <c r="N137" s="440">
        <f>'2.10 транспорт'!AE455</f>
        <v>0.12720000000000001</v>
      </c>
      <c r="O137" s="441">
        <f>'2.10 транспорт'!AF455</f>
        <v>4.8224</v>
      </c>
      <c r="P137" s="440">
        <f>'2.10 транспорт'!AE528</f>
        <v>0.12720000000000001</v>
      </c>
      <c r="Q137" s="163">
        <f>'2.10 транспорт'!AF528</f>
        <v>8.6217000000000024</v>
      </c>
      <c r="R137" s="440">
        <f>'2.10 транспорт'!AE619</f>
        <v>0.12720000000000001</v>
      </c>
      <c r="S137" s="163">
        <f>'2.10 транспорт'!AF619</f>
        <v>3.4813000000000005</v>
      </c>
      <c r="T137" s="440">
        <f>'2.10 транспорт'!AE692</f>
        <v>0.12720000000000001</v>
      </c>
      <c r="U137" s="441">
        <f>'2.10 транспорт'!AF692</f>
        <v>13.2605</v>
      </c>
      <c r="V137" s="187">
        <f>'2.10 транспорт'!AE783</f>
        <v>0.12720000000000001</v>
      </c>
      <c r="W137" s="188">
        <f>'2.10 транспорт'!AF783</f>
        <v>4.4210000000000003</v>
      </c>
      <c r="X137" s="440">
        <f>'2.10 транспорт'!AE856</f>
        <v>0.12720000000000001</v>
      </c>
      <c r="Y137" s="441">
        <f>'2.10 транспорт'!AF856</f>
        <v>12.885600000000002</v>
      </c>
      <c r="Z137" s="384">
        <f>'2.10 транспорт'!AE917</f>
        <v>0.12720000000000001</v>
      </c>
      <c r="AA137" s="385">
        <f>'2.10 транспорт'!AF917</f>
        <v>11.925600000000001</v>
      </c>
      <c r="AB137" s="440">
        <f>'2.10 транспорт'!AE1008</f>
        <v>0.12720000000000001</v>
      </c>
      <c r="AC137" s="163">
        <f>'2.10 транспорт'!AF1008</f>
        <v>3.66</v>
      </c>
      <c r="AD137" s="440">
        <f>'2.10 транспорт'!AE1081</f>
        <v>0.12720000000000001</v>
      </c>
      <c r="AE137" s="441">
        <f>'2.10 транспорт'!AF1081</f>
        <v>17.2883</v>
      </c>
      <c r="AF137" s="440">
        <f>'2.10 транспорт'!AE1142</f>
        <v>0.12720000000000001</v>
      </c>
      <c r="AG137" s="163">
        <f>'2.10 транспорт'!AF1142</f>
        <v>6.4269000000000007</v>
      </c>
      <c r="AH137" s="440">
        <f>'2.10 транспорт'!AE1203</f>
        <v>0.12720000000000001</v>
      </c>
      <c r="AI137" s="441">
        <f>'2.10 транспорт'!AF1203</f>
        <v>2.4943</v>
      </c>
    </row>
    <row r="138" spans="2:35" x14ac:dyDescent="0.25">
      <c r="B138" s="758"/>
      <c r="C138" s="165"/>
      <c r="D138" s="189" t="str">
        <f>'2.10 транспорт'!AC147</f>
        <v>Азота оксид</v>
      </c>
      <c r="E138" s="190" t="str">
        <f>'2.10 транспорт'!AD147</f>
        <v>0304</v>
      </c>
      <c r="F138" s="191">
        <f>'2.10 транспорт'!AE147</f>
        <v>2.07E-2</v>
      </c>
      <c r="G138" s="192">
        <f>'2.10 транспорт'!AF147</f>
        <v>1.8594999999999999</v>
      </c>
      <c r="H138" s="239">
        <f>'2.10 транспорт'!AE262</f>
        <v>2.07E-2</v>
      </c>
      <c r="I138" s="202">
        <f>'2.10 транспорт'!AF262</f>
        <v>3.8497000000000003</v>
      </c>
      <c r="J138" s="228">
        <f>'2.10 транспорт'!AE365</f>
        <v>2.07E-2</v>
      </c>
      <c r="K138" s="190">
        <f>'2.10 транспорт'!AF365</f>
        <v>1.1869999999999996</v>
      </c>
      <c r="L138" s="512"/>
      <c r="M138" s="162"/>
      <c r="N138" s="197">
        <f>'2.10 транспорт'!AE456</f>
        <v>2.07E-2</v>
      </c>
      <c r="O138" s="198">
        <f>'2.10 транспорт'!AF456</f>
        <v>0.78360000000000007</v>
      </c>
      <c r="P138" s="197">
        <f>'2.10 транспорт'!AE529</f>
        <v>2.07E-2</v>
      </c>
      <c r="Q138" s="162">
        <f>'2.10 транспорт'!AF529</f>
        <v>1.4009999999999998</v>
      </c>
      <c r="R138" s="197">
        <f>'2.10 транспорт'!AE620</f>
        <v>2.07E-2</v>
      </c>
      <c r="S138" s="162">
        <f>'2.10 транспорт'!AF620</f>
        <v>0.56580000000000008</v>
      </c>
      <c r="T138" s="197">
        <f>'2.10 транспорт'!AE693</f>
        <v>2.07E-2</v>
      </c>
      <c r="U138" s="198">
        <f>'2.10 транспорт'!AF693</f>
        <v>2.1547999999999998</v>
      </c>
      <c r="V138" s="191">
        <f>'2.10 транспорт'!AE784</f>
        <v>2.07E-2</v>
      </c>
      <c r="W138" s="192">
        <f>'2.10 транспорт'!AF784</f>
        <v>0.71839999999999993</v>
      </c>
      <c r="X138" s="197">
        <f>'2.10 транспорт'!AE857</f>
        <v>2.07E-2</v>
      </c>
      <c r="Y138" s="198">
        <f>'2.10 транспорт'!AF857</f>
        <v>2.0939999999999999</v>
      </c>
      <c r="Z138" s="388">
        <f>'2.10 транспорт'!AE918</f>
        <v>2.07E-2</v>
      </c>
      <c r="AA138" s="389">
        <f>'2.10 транспорт'!AF918</f>
        <v>1.9379</v>
      </c>
      <c r="AB138" s="197">
        <f>'2.10 транспорт'!AE1009</f>
        <v>2.07E-2</v>
      </c>
      <c r="AC138" s="162">
        <f>'2.10 транспорт'!AF1009</f>
        <v>0.59460000000000002</v>
      </c>
      <c r="AD138" s="197">
        <f>'2.10 транспорт'!AE1082</f>
        <v>2.07E-2</v>
      </c>
      <c r="AE138" s="198">
        <f>'2.10 транспорт'!AF1082</f>
        <v>2.8092999999999999</v>
      </c>
      <c r="AF138" s="197">
        <f>'2.10 транспорт'!AE1143</f>
        <v>2.07E-2</v>
      </c>
      <c r="AG138" s="162">
        <f>'2.10 транспорт'!AF1143</f>
        <v>1.0445</v>
      </c>
      <c r="AH138" s="197">
        <f>'2.10 транспорт'!AE1204</f>
        <v>2.07E-2</v>
      </c>
      <c r="AI138" s="198">
        <f>'2.10 транспорт'!AF1204</f>
        <v>0.40529999999999999</v>
      </c>
    </row>
    <row r="139" spans="2:35" x14ac:dyDescent="0.25">
      <c r="B139" s="758"/>
      <c r="C139" s="165"/>
      <c r="D139" s="189" t="str">
        <f>'2.10 транспорт'!AC148</f>
        <v>Серы диоксид</v>
      </c>
      <c r="E139" s="190" t="str">
        <f>'2.10 транспорт'!AD148</f>
        <v>0330</v>
      </c>
      <c r="F139" s="191">
        <f>'2.10 транспорт'!AE148</f>
        <v>1.4500000000000001E-2</v>
      </c>
      <c r="G139" s="192">
        <f>'2.10 транспорт'!AF148</f>
        <v>1.3207000000000002</v>
      </c>
      <c r="H139" s="239">
        <f>'2.10 транспорт'!AE263</f>
        <v>1.4500000000000001E-2</v>
      </c>
      <c r="I139" s="202">
        <f>'2.10 транспорт'!AF263</f>
        <v>2.7121999999999997</v>
      </c>
      <c r="J139" s="228">
        <f>'2.10 транспорт'!AE366</f>
        <v>1.4500000000000001E-2</v>
      </c>
      <c r="K139" s="190">
        <f>'2.10 транспорт'!AF366</f>
        <v>0.80810000000000015</v>
      </c>
      <c r="L139" s="512"/>
      <c r="M139" s="162"/>
      <c r="N139" s="197">
        <f>'2.10 транспорт'!AE457</f>
        <v>1.4500000000000001E-2</v>
      </c>
      <c r="O139" s="198">
        <f>'2.10 транспорт'!AF457</f>
        <v>0.56710000000000005</v>
      </c>
      <c r="P139" s="197">
        <f>'2.10 транспорт'!AE530</f>
        <v>1.4500000000000001E-2</v>
      </c>
      <c r="Q139" s="162">
        <f>'2.10 транспорт'!AF530</f>
        <v>1.0056</v>
      </c>
      <c r="R139" s="197">
        <f>'2.10 транспорт'!AE621</f>
        <v>1.4500000000000001E-2</v>
      </c>
      <c r="S139" s="162">
        <f>'2.10 транспорт'!AF621</f>
        <v>0.38640000000000008</v>
      </c>
      <c r="T139" s="197">
        <f>'2.10 транспорт'!AE694</f>
        <v>1.4500000000000001E-2</v>
      </c>
      <c r="U139" s="198">
        <f>'2.10 транспорт'!AF694</f>
        <v>1.5195000000000001</v>
      </c>
      <c r="V139" s="191">
        <f>'2.10 транспорт'!AE785</f>
        <v>1.4500000000000001E-2</v>
      </c>
      <c r="W139" s="192">
        <f>'2.10 транспорт'!AF785</f>
        <v>0.5122000000000001</v>
      </c>
      <c r="X139" s="197">
        <f>'2.10 транспорт'!AE858</f>
        <v>1.4500000000000001E-2</v>
      </c>
      <c r="Y139" s="198">
        <f>'2.10 транспорт'!AF858</f>
        <v>1.4342000000000004</v>
      </c>
      <c r="Z139" s="388">
        <f>'2.10 транспорт'!AE919</f>
        <v>1.4500000000000001E-2</v>
      </c>
      <c r="AA139" s="389">
        <f>'2.10 транспорт'!AF919</f>
        <v>1.3523999999999998</v>
      </c>
      <c r="AB139" s="197">
        <f>'2.10 транспорт'!AE1010</f>
        <v>1.4500000000000001E-2</v>
      </c>
      <c r="AC139" s="162">
        <f>'2.10 транспорт'!AF1010</f>
        <v>0.42320000000000008</v>
      </c>
      <c r="AD139" s="197">
        <f>'2.10 транспорт'!AE1083</f>
        <v>1.4500000000000001E-2</v>
      </c>
      <c r="AE139" s="198">
        <f>'2.10 транспорт'!AF1083</f>
        <v>2.0443999999999996</v>
      </c>
      <c r="AF139" s="197">
        <f>'2.10 транспорт'!AE1144</f>
        <v>1.4500000000000001E-2</v>
      </c>
      <c r="AG139" s="162">
        <f>'2.10 транспорт'!AF1144</f>
        <v>0.73529999999999995</v>
      </c>
      <c r="AH139" s="197">
        <f>'2.10 транспорт'!AE1205</f>
        <v>1.4500000000000001E-2</v>
      </c>
      <c r="AI139" s="198">
        <f>'2.10 транспорт'!AF1205</f>
        <v>0.30570000000000003</v>
      </c>
    </row>
    <row r="140" spans="2:35" x14ac:dyDescent="0.25">
      <c r="B140" s="758"/>
      <c r="C140" s="165"/>
      <c r="D140" s="189" t="str">
        <f>'2.10 транспорт'!AC149</f>
        <v>Керосин</v>
      </c>
      <c r="E140" s="190" t="str">
        <f>'2.10 транспорт'!AD149</f>
        <v>2732</v>
      </c>
      <c r="F140" s="191">
        <f>'2.10 транспорт'!AE149</f>
        <v>3.32E-2</v>
      </c>
      <c r="G140" s="192">
        <f>'2.10 транспорт'!AF149</f>
        <v>2.6682000000000001</v>
      </c>
      <c r="H140" s="239">
        <f>'2.10 транспорт'!AE264</f>
        <v>3.32E-2</v>
      </c>
      <c r="I140" s="202">
        <f>'2.10 транспорт'!AF264</f>
        <v>5.5900999999999996</v>
      </c>
      <c r="J140" s="228">
        <f>'2.10 транспорт'!AE367</f>
        <v>3.32E-2</v>
      </c>
      <c r="K140" s="190">
        <f>'2.10 транспорт'!AF367</f>
        <v>1.6676</v>
      </c>
      <c r="L140" s="512"/>
      <c r="M140" s="162"/>
      <c r="N140" s="197">
        <f>'2.10 транспорт'!AE458</f>
        <v>3.32E-2</v>
      </c>
      <c r="O140" s="198">
        <f>'2.10 транспорт'!AF458</f>
        <v>1.1675999999999997</v>
      </c>
      <c r="P140" s="197">
        <f>'2.10 транспорт'!AE531</f>
        <v>3.32E-2</v>
      </c>
      <c r="Q140" s="162">
        <f>'2.10 транспорт'!AF531</f>
        <v>2.0287000000000002</v>
      </c>
      <c r="R140" s="197">
        <f>'2.10 транспорт'!AE622</f>
        <v>3.32E-2</v>
      </c>
      <c r="S140" s="162">
        <f>'2.10 транспорт'!AF622</f>
        <v>0.84650000000000003</v>
      </c>
      <c r="T140" s="197">
        <f>'2.10 транспорт'!AE695</f>
        <v>3.32E-2</v>
      </c>
      <c r="U140" s="198">
        <f>'2.10 транспорт'!AF695</f>
        <v>3.1123000000000003</v>
      </c>
      <c r="V140" s="191">
        <f>'2.10 транспорт'!AE786</f>
        <v>3.32E-2</v>
      </c>
      <c r="W140" s="192">
        <f>'2.10 транспорт'!AF786</f>
        <v>1.0761000000000001</v>
      </c>
      <c r="X140" s="197">
        <f>'2.10 транспорт'!AE859</f>
        <v>3.32E-2</v>
      </c>
      <c r="Y140" s="198">
        <f>'2.10 транспорт'!AF859</f>
        <v>3.0261999999999998</v>
      </c>
      <c r="Z140" s="388">
        <f>'2.10 транспорт'!AE920</f>
        <v>3.32E-2</v>
      </c>
      <c r="AA140" s="389">
        <f>'2.10 транспорт'!AF920</f>
        <v>2.7440999999999995</v>
      </c>
      <c r="AB140" s="197">
        <f>'2.10 транспорт'!AE1011</f>
        <v>3.32E-2</v>
      </c>
      <c r="AC140" s="162">
        <f>'2.10 транспорт'!AF1011</f>
        <v>0.87639999999999985</v>
      </c>
      <c r="AD140" s="197">
        <f>'2.10 транспорт'!AE1084</f>
        <v>3.32E-2</v>
      </c>
      <c r="AE140" s="198">
        <f>'2.10 транспорт'!AF1084</f>
        <v>4.0270999999999999</v>
      </c>
      <c r="AF140" s="197">
        <f>'2.10 транспорт'!AE1145</f>
        <v>3.32E-2</v>
      </c>
      <c r="AG140" s="162">
        <f>'2.10 транспорт'!AF1145</f>
        <v>1.5407</v>
      </c>
      <c r="AH140" s="197">
        <f>'2.10 транспорт'!AE1206</f>
        <v>3.32E-2</v>
      </c>
      <c r="AI140" s="198">
        <f>'2.10 транспорт'!AF1206</f>
        <v>0.63240000000000007</v>
      </c>
    </row>
    <row r="141" spans="2:35" x14ac:dyDescent="0.25">
      <c r="B141" s="758"/>
      <c r="C141" s="149"/>
      <c r="D141" s="189" t="str">
        <f>'2.10 транспорт'!AC150</f>
        <v>Углерод (Сажа)</v>
      </c>
      <c r="E141" s="190" t="str">
        <f>'2.10 транспорт'!AD150</f>
        <v>0328</v>
      </c>
      <c r="F141" s="191">
        <f>'2.10 транспорт'!AE150</f>
        <v>2.3800000000000002E-2</v>
      </c>
      <c r="G141" s="192">
        <f>'2.10 транспорт'!AF150</f>
        <v>1.7802</v>
      </c>
      <c r="H141" s="239">
        <f>'2.10 транспорт'!AE265</f>
        <v>2.3800000000000002E-2</v>
      </c>
      <c r="I141" s="202">
        <f>'2.10 транспорт'!AF265</f>
        <v>3.8461000000000003</v>
      </c>
      <c r="J141" s="228">
        <f>'2.10 транспорт'!AE368</f>
        <v>2.3800000000000002E-2</v>
      </c>
      <c r="K141" s="190">
        <f>'2.10 транспорт'!AF368</f>
        <v>1.0709</v>
      </c>
      <c r="L141" s="512"/>
      <c r="M141" s="162"/>
      <c r="N141" s="197">
        <f>'2.10 транспорт'!AE459</f>
        <v>2.3800000000000002E-2</v>
      </c>
      <c r="O141" s="198">
        <f>'2.10 транспорт'!AF459</f>
        <v>0.75050000000000006</v>
      </c>
      <c r="P141" s="197">
        <f>'2.10 транспорт'!AE532</f>
        <v>2.3800000000000002E-2</v>
      </c>
      <c r="Q141" s="162">
        <f>'2.10 транспорт'!AF532</f>
        <v>1.3524999999999998</v>
      </c>
      <c r="R141" s="197">
        <f>'2.10 транспорт'!AE623</f>
        <v>2.3800000000000002E-2</v>
      </c>
      <c r="S141" s="162">
        <f>'2.10 транспорт'!AF623</f>
        <v>0.54239999999999999</v>
      </c>
      <c r="T141" s="197">
        <f>'2.10 транспорт'!AE696</f>
        <v>2.3800000000000002E-2</v>
      </c>
      <c r="U141" s="198">
        <f>'2.10 транспорт'!AF696</f>
        <v>2.0912999999999999</v>
      </c>
      <c r="V141" s="191">
        <f>'2.10 транспорт'!AE787</f>
        <v>2.3800000000000002E-2</v>
      </c>
      <c r="W141" s="192">
        <f>'2.10 транспорт'!AF787</f>
        <v>0.69890000000000008</v>
      </c>
      <c r="X141" s="197">
        <f>'2.10 транспорт'!AE860</f>
        <v>2.3800000000000002E-2</v>
      </c>
      <c r="Y141" s="198">
        <f>'2.10 транспорт'!AF860</f>
        <v>2.0345999999999997</v>
      </c>
      <c r="Z141" s="388">
        <f>'2.10 транспорт'!AE921</f>
        <v>2.3800000000000002E-2</v>
      </c>
      <c r="AA141" s="389">
        <f>'2.10 транспорт'!AF921</f>
        <v>1.7948999999999999</v>
      </c>
      <c r="AB141" s="197">
        <f>'2.10 транспорт'!AE1012</f>
        <v>2.3800000000000002E-2</v>
      </c>
      <c r="AC141" s="162">
        <f>'2.10 транспорт'!AF1012</f>
        <v>0.55070000000000019</v>
      </c>
      <c r="AD141" s="197">
        <f>'2.10 транспорт'!AE1085</f>
        <v>2.3800000000000002E-2</v>
      </c>
      <c r="AE141" s="198">
        <f>'2.10 транспорт'!AF1085</f>
        <v>2.6990000000000007</v>
      </c>
      <c r="AF141" s="197">
        <f>'2.10 транспорт'!AE1146</f>
        <v>2.3800000000000002E-2</v>
      </c>
      <c r="AG141" s="162">
        <f>'2.10 транспорт'!AF1146</f>
        <v>1.0105999999999999</v>
      </c>
      <c r="AH141" s="197">
        <f>'2.10 транспорт'!AE1207</f>
        <v>2.3800000000000002E-2</v>
      </c>
      <c r="AI141" s="198">
        <f>'2.10 транспорт'!AF1207</f>
        <v>0.45200000000000001</v>
      </c>
    </row>
    <row r="142" spans="2:35" ht="16.5" thickBot="1" x14ac:dyDescent="0.3">
      <c r="B142" s="758"/>
      <c r="C142" s="165"/>
      <c r="D142" s="189" t="str">
        <f>'2.10 транспорт'!AC151</f>
        <v>Углерода оксид</v>
      </c>
      <c r="E142" s="190" t="str">
        <f>'2.10 транспорт'!AD151</f>
        <v>0337</v>
      </c>
      <c r="F142" s="191">
        <f>'2.10 транспорт'!AE151</f>
        <v>0.12039999999999999</v>
      </c>
      <c r="G142" s="192">
        <f>'2.10 транспорт'!AF151</f>
        <v>8.2996999999999996</v>
      </c>
      <c r="H142" s="464">
        <f>'2.10 транспорт'!AE266</f>
        <v>0.12039999999999999</v>
      </c>
      <c r="I142" s="465">
        <f>'2.10 транспорт'!AF266</f>
        <v>17.333000000000006</v>
      </c>
      <c r="J142" s="508">
        <f>'2.10 транспорт'!AE369</f>
        <v>0.12039999999999999</v>
      </c>
      <c r="K142" s="509">
        <f>'2.10 транспорт'!AF369</f>
        <v>5.2055000000000016</v>
      </c>
      <c r="L142" s="513"/>
      <c r="M142" s="162"/>
      <c r="N142" s="514">
        <f>'2.10 транспорт'!AE460</f>
        <v>0.12039999999999999</v>
      </c>
      <c r="O142" s="515">
        <f>'2.10 транспорт'!AF460</f>
        <v>3.9417999999999993</v>
      </c>
      <c r="P142" s="514">
        <f>'2.10 транспорт'!AE533</f>
        <v>0.12039999999999999</v>
      </c>
      <c r="Q142" s="516">
        <f>'2.10 транспорт'!AF533</f>
        <v>6.3579999999999997</v>
      </c>
      <c r="R142" s="514">
        <f>'2.10 транспорт'!AE624</f>
        <v>0.12039999999999999</v>
      </c>
      <c r="S142" s="516">
        <f>'2.10 транспорт'!AF624</f>
        <v>2.8967999999999994</v>
      </c>
      <c r="T142" s="514">
        <f>'2.10 транспорт'!AE697</f>
        <v>0.12039999999999999</v>
      </c>
      <c r="U142" s="515">
        <f>'2.10 транспорт'!AF697</f>
        <v>9.6734000000000009</v>
      </c>
      <c r="V142" s="518">
        <f>'2.10 транспорт'!AE788</f>
        <v>0.12039999999999999</v>
      </c>
      <c r="W142" s="519">
        <f>'2.10 транспорт'!AF788</f>
        <v>3.6221999999999999</v>
      </c>
      <c r="X142" s="514">
        <f>'2.10 транспорт'!AE861</f>
        <v>0.12039999999999999</v>
      </c>
      <c r="Y142" s="515">
        <f>'2.10 транспорт'!AF861</f>
        <v>9.4589000000000016</v>
      </c>
      <c r="Z142" s="599">
        <f>'2.10 транспорт'!AE922</f>
        <v>0.12039999999999999</v>
      </c>
      <c r="AA142" s="600">
        <f>'2.10 транспорт'!AF922</f>
        <v>8.5028999999999986</v>
      </c>
      <c r="AB142" s="514">
        <f>'2.10 транспорт'!AE1013</f>
        <v>0.12039999999999999</v>
      </c>
      <c r="AC142" s="516">
        <f>'2.10 транспорт'!AF1013</f>
        <v>2.9476999999999993</v>
      </c>
      <c r="AD142" s="514">
        <f>'2.10 транспорт'!AE1086</f>
        <v>0.12039999999999999</v>
      </c>
      <c r="AE142" s="515">
        <f>'2.10 транспорт'!AF1086</f>
        <v>12.391999999999999</v>
      </c>
      <c r="AF142" s="514">
        <f>'2.10 транспорт'!AE1147</f>
        <v>0.12039999999999999</v>
      </c>
      <c r="AG142" s="516">
        <f>'2.10 транспорт'!AF1147</f>
        <v>5.0296000000000003</v>
      </c>
      <c r="AH142" s="514">
        <f>'2.10 транспорт'!AE1208</f>
        <v>0.12039999999999999</v>
      </c>
      <c r="AI142" s="515">
        <f>'2.10 транспорт'!AF1208</f>
        <v>2.1151000000000004</v>
      </c>
    </row>
    <row r="143" spans="2:35" s="232" customFormat="1" ht="30.95" customHeight="1" thickBot="1" x14ac:dyDescent="0.3">
      <c r="B143" s="296"/>
      <c r="C143" s="241"/>
      <c r="D143" s="279" t="s">
        <v>471</v>
      </c>
      <c r="E143" s="242"/>
      <c r="F143" s="233">
        <f>SUM(F137:F142)</f>
        <v>0.33980000000000005</v>
      </c>
      <c r="G143" s="231">
        <f t="shared" ref="G143:AI143" si="25">SUM(G137:G142)</f>
        <v>27.370600000000003</v>
      </c>
      <c r="H143" s="506">
        <f t="shared" si="25"/>
        <v>0.33980000000000005</v>
      </c>
      <c r="I143" s="446">
        <f t="shared" si="25"/>
        <v>57.020400000000009</v>
      </c>
      <c r="J143" s="233">
        <f t="shared" si="25"/>
        <v>0.33980000000000005</v>
      </c>
      <c r="K143" s="231">
        <f t="shared" si="25"/>
        <v>17.244</v>
      </c>
      <c r="L143" s="444">
        <f t="shared" si="25"/>
        <v>0</v>
      </c>
      <c r="M143" s="446">
        <f t="shared" si="25"/>
        <v>0</v>
      </c>
      <c r="N143" s="233">
        <f t="shared" si="25"/>
        <v>0.33980000000000005</v>
      </c>
      <c r="O143" s="231">
        <f t="shared" si="25"/>
        <v>12.032999999999999</v>
      </c>
      <c r="P143" s="233">
        <f t="shared" si="25"/>
        <v>0.33980000000000005</v>
      </c>
      <c r="Q143" s="231">
        <f t="shared" si="25"/>
        <v>20.767500000000002</v>
      </c>
      <c r="R143" s="233">
        <f t="shared" si="25"/>
        <v>0.33980000000000005</v>
      </c>
      <c r="S143" s="231">
        <f t="shared" si="25"/>
        <v>8.719199999999999</v>
      </c>
      <c r="T143" s="506">
        <f t="shared" si="25"/>
        <v>0.33980000000000005</v>
      </c>
      <c r="U143" s="446">
        <f t="shared" si="25"/>
        <v>31.811800000000002</v>
      </c>
      <c r="V143" s="233">
        <f t="shared" si="25"/>
        <v>0.33980000000000005</v>
      </c>
      <c r="W143" s="231">
        <f t="shared" si="25"/>
        <v>11.0488</v>
      </c>
      <c r="X143" s="506">
        <f t="shared" si="25"/>
        <v>0.33980000000000005</v>
      </c>
      <c r="Y143" s="520">
        <f t="shared" si="25"/>
        <v>30.933500000000002</v>
      </c>
      <c r="Z143" s="601">
        <f t="shared" si="25"/>
        <v>0.33980000000000005</v>
      </c>
      <c r="AA143" s="615">
        <f t="shared" si="25"/>
        <v>28.257799999999996</v>
      </c>
      <c r="AB143" s="506">
        <f t="shared" si="25"/>
        <v>0.33980000000000005</v>
      </c>
      <c r="AC143" s="446">
        <f t="shared" si="25"/>
        <v>9.0525999999999982</v>
      </c>
      <c r="AD143" s="233">
        <f t="shared" si="25"/>
        <v>0.33980000000000005</v>
      </c>
      <c r="AE143" s="231">
        <f t="shared" si="25"/>
        <v>41.260100000000001</v>
      </c>
      <c r="AF143" s="506">
        <f t="shared" si="25"/>
        <v>0.33980000000000005</v>
      </c>
      <c r="AG143" s="446">
        <f t="shared" si="25"/>
        <v>15.787600000000001</v>
      </c>
      <c r="AH143" s="233">
        <f t="shared" si="25"/>
        <v>0.33980000000000005</v>
      </c>
      <c r="AI143" s="231">
        <f t="shared" si="25"/>
        <v>6.4047999999999998</v>
      </c>
    </row>
    <row r="144" spans="2:35" s="235" customFormat="1" ht="12.75" x14ac:dyDescent="0.2">
      <c r="B144" s="295"/>
      <c r="D144" s="278"/>
      <c r="E144" s="236"/>
      <c r="F144" s="436">
        <f>'2.10 транспорт'!AG151</f>
        <v>0.33980000000000005</v>
      </c>
      <c r="G144" s="436">
        <f>'2.10 транспорт'!AH151</f>
        <v>27.370600000000003</v>
      </c>
      <c r="H144" s="466">
        <f>'2.10 транспорт'!AG266</f>
        <v>0.33980000000000005</v>
      </c>
      <c r="I144" s="466">
        <f>'2.10 транспорт'!AH266</f>
        <v>57.020400000000009</v>
      </c>
      <c r="J144" s="436">
        <f>'2.10 транспорт'!AG369</f>
        <v>0.33980000000000005</v>
      </c>
      <c r="K144" s="436">
        <f>'2.10 транспорт'!AH369</f>
        <v>17.244</v>
      </c>
      <c r="L144" s="436"/>
      <c r="M144" s="436"/>
      <c r="N144" s="91">
        <f>'2.10 транспорт'!AG460</f>
        <v>0.33980000000000005</v>
      </c>
      <c r="O144" s="91">
        <f>'2.10 транспорт'!AH460</f>
        <v>12.032999999999999</v>
      </c>
      <c r="P144" s="91">
        <f>'2.10 транспорт'!AG533</f>
        <v>0.33980000000000005</v>
      </c>
      <c r="Q144" s="91">
        <f>'2.10 транспорт'!AH533</f>
        <v>20.767500000000002</v>
      </c>
      <c r="R144" s="91">
        <f>'2.10 транспорт'!AG624</f>
        <v>0.33980000000000005</v>
      </c>
      <c r="S144" s="91">
        <f>'2.10 транспорт'!AH624</f>
        <v>8.719199999999999</v>
      </c>
      <c r="T144" s="91">
        <f>'2.10 транспорт'!AG697</f>
        <v>0.33980000000000005</v>
      </c>
      <c r="U144" s="91">
        <f>'2.10 транспорт'!AH697</f>
        <v>31.811800000000002</v>
      </c>
      <c r="V144" s="91">
        <f>'2.10 транспорт'!AG788</f>
        <v>0.33980000000000005</v>
      </c>
      <c r="W144" s="91">
        <f>'2.10 транспорт'!AH788</f>
        <v>11.0488</v>
      </c>
      <c r="X144" s="91">
        <f>'2.10 транспорт'!AG861</f>
        <v>0.33980000000000005</v>
      </c>
      <c r="Y144" s="91">
        <f>'2.10 транспорт'!AH861</f>
        <v>30.933500000000002</v>
      </c>
      <c r="Z144" s="419">
        <f>'2.10 транспорт'!AG922</f>
        <v>0.33980000000000005</v>
      </c>
      <c r="AA144" s="419">
        <f>'2.10 транспорт'!AH922</f>
        <v>28.257799999999996</v>
      </c>
      <c r="AB144" s="91">
        <f>'2.10 транспорт'!AG1013</f>
        <v>0.33980000000000005</v>
      </c>
      <c r="AC144" s="91">
        <f>'2.10 транспорт'!AH1013</f>
        <v>9.0525999999999982</v>
      </c>
      <c r="AD144" s="91">
        <f>'2.10 транспорт'!AG1086</f>
        <v>0.33980000000000005</v>
      </c>
      <c r="AE144" s="91">
        <f>'2.10 транспорт'!AH1086</f>
        <v>41.260100000000001</v>
      </c>
      <c r="AF144" s="91">
        <f>'2.10 транспорт'!AG1147</f>
        <v>0.33980000000000005</v>
      </c>
      <c r="AG144" s="91">
        <f>'2.10 транспорт'!AH1147</f>
        <v>15.787600000000001</v>
      </c>
      <c r="AH144" s="91">
        <f>'2.10 транспорт'!AG1208</f>
        <v>0.33980000000000005</v>
      </c>
      <c r="AI144" s="91">
        <f>'2.10 транспорт'!AH1208</f>
        <v>6.4047999999999998</v>
      </c>
    </row>
    <row r="145" spans="2:35" s="235" customFormat="1" ht="12.75" x14ac:dyDescent="0.2">
      <c r="B145" s="295"/>
      <c r="D145" s="278"/>
      <c r="E145" s="236"/>
      <c r="F145" s="436">
        <f t="shared" ref="F145:K145" si="26">F143-F144</f>
        <v>0</v>
      </c>
      <c r="G145" s="436">
        <f t="shared" si="26"/>
        <v>0</v>
      </c>
      <c r="H145" s="436">
        <f t="shared" si="26"/>
        <v>0</v>
      </c>
      <c r="I145" s="436">
        <f t="shared" si="26"/>
        <v>0</v>
      </c>
      <c r="J145" s="436">
        <f t="shared" si="26"/>
        <v>0</v>
      </c>
      <c r="K145" s="436">
        <f t="shared" si="26"/>
        <v>0</v>
      </c>
      <c r="L145" s="419"/>
      <c r="M145" s="419"/>
      <c r="N145" s="436">
        <f t="shared" ref="N145:U145" si="27">N143-N144</f>
        <v>0</v>
      </c>
      <c r="O145" s="436">
        <f t="shared" si="27"/>
        <v>0</v>
      </c>
      <c r="P145" s="436">
        <f t="shared" si="27"/>
        <v>0</v>
      </c>
      <c r="Q145" s="436">
        <f t="shared" si="27"/>
        <v>0</v>
      </c>
      <c r="R145" s="436">
        <f t="shared" si="27"/>
        <v>0</v>
      </c>
      <c r="S145" s="436">
        <f t="shared" si="27"/>
        <v>0</v>
      </c>
      <c r="T145" s="436">
        <f t="shared" si="27"/>
        <v>0</v>
      </c>
      <c r="U145" s="436">
        <f t="shared" si="27"/>
        <v>0</v>
      </c>
      <c r="V145" s="436">
        <f t="shared" ref="V145:AI145" si="28">V143-V144</f>
        <v>0</v>
      </c>
      <c r="W145" s="436">
        <f t="shared" si="28"/>
        <v>0</v>
      </c>
      <c r="X145" s="436">
        <f t="shared" si="28"/>
        <v>0</v>
      </c>
      <c r="Y145" s="436">
        <f t="shared" si="28"/>
        <v>0</v>
      </c>
      <c r="Z145" s="594">
        <f t="shared" si="28"/>
        <v>0</v>
      </c>
      <c r="AA145" s="594">
        <f t="shared" si="28"/>
        <v>0</v>
      </c>
      <c r="AB145" s="436">
        <f t="shared" si="28"/>
        <v>0</v>
      </c>
      <c r="AC145" s="436">
        <f t="shared" si="28"/>
        <v>0</v>
      </c>
      <c r="AD145" s="436">
        <f t="shared" si="28"/>
        <v>0</v>
      </c>
      <c r="AE145" s="436">
        <f t="shared" si="28"/>
        <v>0</v>
      </c>
      <c r="AF145" s="436">
        <f t="shared" si="28"/>
        <v>0</v>
      </c>
      <c r="AG145" s="436">
        <f t="shared" si="28"/>
        <v>0</v>
      </c>
      <c r="AH145" s="436">
        <f t="shared" si="28"/>
        <v>0</v>
      </c>
      <c r="AI145" s="436">
        <f t="shared" si="28"/>
        <v>0</v>
      </c>
    </row>
    <row r="146" spans="2:35" x14ac:dyDescent="0.25">
      <c r="D146" s="578" t="s">
        <v>644</v>
      </c>
    </row>
    <row r="147" spans="2:35" ht="20.100000000000001" customHeight="1" x14ac:dyDescent="0.25">
      <c r="D147" s="134"/>
      <c r="F147" s="742" t="s">
        <v>466</v>
      </c>
      <c r="G147" s="742"/>
      <c r="H147" s="742" t="s">
        <v>466</v>
      </c>
      <c r="I147" s="742"/>
      <c r="J147" s="742" t="s">
        <v>466</v>
      </c>
      <c r="K147" s="742"/>
      <c r="L147" s="742" t="s">
        <v>466</v>
      </c>
      <c r="M147" s="742"/>
      <c r="N147" s="742" t="s">
        <v>466</v>
      </c>
      <c r="O147" s="742"/>
      <c r="P147" s="742" t="s">
        <v>466</v>
      </c>
      <c r="Q147" s="742"/>
      <c r="R147" s="742" t="s">
        <v>466</v>
      </c>
      <c r="S147" s="742"/>
      <c r="T147" s="742" t="s">
        <v>466</v>
      </c>
      <c r="U147" s="742"/>
      <c r="V147" s="742" t="s">
        <v>466</v>
      </c>
      <c r="W147" s="742"/>
      <c r="X147" s="742" t="s">
        <v>466</v>
      </c>
      <c r="Y147" s="742"/>
      <c r="Z147" s="750" t="s">
        <v>466</v>
      </c>
      <c r="AA147" s="750"/>
      <c r="AB147" s="742" t="s">
        <v>466</v>
      </c>
      <c r="AC147" s="742"/>
      <c r="AD147" s="742" t="s">
        <v>466</v>
      </c>
      <c r="AE147" s="742"/>
      <c r="AF147" s="134"/>
      <c r="AG147" s="134"/>
      <c r="AH147" s="134"/>
      <c r="AI147" s="134"/>
    </row>
    <row r="148" spans="2:35" s="155" customFormat="1" ht="19.5" customHeight="1" x14ac:dyDescent="0.25">
      <c r="B148" s="95"/>
      <c r="D148" s="746" t="s">
        <v>12</v>
      </c>
      <c r="E148" s="746" t="s">
        <v>467</v>
      </c>
      <c r="F148" s="743" t="s">
        <v>16</v>
      </c>
      <c r="G148" s="743"/>
      <c r="H148" s="748" t="s">
        <v>97</v>
      </c>
      <c r="I148" s="748"/>
      <c r="J148" s="743" t="s">
        <v>98</v>
      </c>
      <c r="K148" s="743"/>
      <c r="L148" s="743" t="s">
        <v>304</v>
      </c>
      <c r="M148" s="743"/>
      <c r="N148" s="743" t="s">
        <v>103</v>
      </c>
      <c r="O148" s="743"/>
      <c r="P148" s="743" t="s">
        <v>105</v>
      </c>
      <c r="Q148" s="743"/>
      <c r="R148" s="743" t="s">
        <v>109</v>
      </c>
      <c r="S148" s="743"/>
      <c r="T148" s="743" t="s">
        <v>111</v>
      </c>
      <c r="U148" s="743"/>
      <c r="V148" s="743" t="s">
        <v>112</v>
      </c>
      <c r="W148" s="743"/>
      <c r="X148" s="743" t="s">
        <v>114</v>
      </c>
      <c r="Y148" s="743"/>
      <c r="Z148" s="749" t="s">
        <v>115</v>
      </c>
      <c r="AA148" s="749"/>
      <c r="AB148" s="743" t="s">
        <v>119</v>
      </c>
      <c r="AC148" s="743"/>
      <c r="AD148" s="743" t="s">
        <v>121</v>
      </c>
      <c r="AE148" s="743"/>
      <c r="AF148" s="743" t="s">
        <v>122</v>
      </c>
      <c r="AG148" s="743"/>
      <c r="AH148" s="743" t="s">
        <v>123</v>
      </c>
      <c r="AI148" s="743"/>
    </row>
    <row r="149" spans="2:35" ht="20.100000000000001" customHeight="1" x14ac:dyDescent="0.25">
      <c r="D149" s="747"/>
      <c r="E149" s="747"/>
      <c r="F149" s="145" t="s">
        <v>54</v>
      </c>
      <c r="G149" s="145" t="s">
        <v>53</v>
      </c>
      <c r="H149" s="145" t="s">
        <v>54</v>
      </c>
      <c r="I149" s="145" t="s">
        <v>53</v>
      </c>
      <c r="J149" s="145" t="s">
        <v>54</v>
      </c>
      <c r="K149" s="145" t="s">
        <v>53</v>
      </c>
      <c r="L149" s="145" t="s">
        <v>54</v>
      </c>
      <c r="M149" s="145" t="s">
        <v>53</v>
      </c>
      <c r="N149" s="145" t="s">
        <v>54</v>
      </c>
      <c r="O149" s="145" t="s">
        <v>53</v>
      </c>
      <c r="P149" s="145" t="s">
        <v>54</v>
      </c>
      <c r="Q149" s="145" t="s">
        <v>53</v>
      </c>
      <c r="R149" s="145" t="s">
        <v>54</v>
      </c>
      <c r="S149" s="145" t="s">
        <v>53</v>
      </c>
      <c r="T149" s="145" t="s">
        <v>54</v>
      </c>
      <c r="U149" s="145" t="s">
        <v>53</v>
      </c>
      <c r="V149" s="145" t="s">
        <v>54</v>
      </c>
      <c r="W149" s="145" t="s">
        <v>53</v>
      </c>
      <c r="X149" s="145" t="s">
        <v>54</v>
      </c>
      <c r="Y149" s="145" t="s">
        <v>53</v>
      </c>
      <c r="Z149" s="595" t="s">
        <v>54</v>
      </c>
      <c r="AA149" s="595" t="s">
        <v>53</v>
      </c>
      <c r="AB149" s="145" t="s">
        <v>54</v>
      </c>
      <c r="AC149" s="145" t="s">
        <v>53</v>
      </c>
      <c r="AD149" s="145" t="s">
        <v>54</v>
      </c>
      <c r="AE149" s="145" t="s">
        <v>53</v>
      </c>
      <c r="AF149" s="145" t="s">
        <v>54</v>
      </c>
      <c r="AG149" s="145" t="s">
        <v>53</v>
      </c>
      <c r="AH149" s="145" t="s">
        <v>54</v>
      </c>
      <c r="AI149" s="145" t="s">
        <v>53</v>
      </c>
    </row>
    <row r="150" spans="2:35" ht="20.100000000000001" customHeight="1" x14ac:dyDescent="0.25">
      <c r="D150" s="146">
        <v>1</v>
      </c>
      <c r="E150" s="146">
        <v>2</v>
      </c>
      <c r="F150" s="146">
        <v>3</v>
      </c>
      <c r="G150" s="146">
        <v>4</v>
      </c>
      <c r="H150" s="146">
        <v>5</v>
      </c>
      <c r="I150" s="146">
        <v>6</v>
      </c>
      <c r="J150" s="146">
        <v>7</v>
      </c>
      <c r="K150" s="146">
        <v>8</v>
      </c>
      <c r="L150" s="146">
        <v>9</v>
      </c>
      <c r="M150" s="146">
        <v>10</v>
      </c>
      <c r="N150" s="146">
        <v>11</v>
      </c>
      <c r="O150" s="146">
        <v>12</v>
      </c>
      <c r="P150" s="146">
        <v>13</v>
      </c>
      <c r="Q150" s="146">
        <v>14</v>
      </c>
      <c r="R150" s="146">
        <v>15</v>
      </c>
      <c r="S150" s="146">
        <v>16</v>
      </c>
      <c r="T150" s="146">
        <v>21</v>
      </c>
      <c r="U150" s="146">
        <v>22</v>
      </c>
      <c r="V150" s="146">
        <v>25</v>
      </c>
      <c r="W150" s="146">
        <v>26</v>
      </c>
      <c r="X150" s="146">
        <v>27</v>
      </c>
      <c r="Y150" s="146">
        <v>28</v>
      </c>
      <c r="Z150" s="596">
        <v>29</v>
      </c>
      <c r="AA150" s="596">
        <v>30</v>
      </c>
      <c r="AB150" s="146">
        <v>31</v>
      </c>
      <c r="AC150" s="146">
        <v>32</v>
      </c>
      <c r="AD150" s="146">
        <v>33</v>
      </c>
      <c r="AE150" s="146">
        <v>34</v>
      </c>
      <c r="AF150" s="146">
        <v>35</v>
      </c>
      <c r="AG150" s="146">
        <v>36</v>
      </c>
      <c r="AH150" s="146">
        <v>37</v>
      </c>
      <c r="AI150" s="146">
        <v>38</v>
      </c>
    </row>
    <row r="151" spans="2:35" ht="20.100000000000001" customHeight="1" x14ac:dyDescent="0.25">
      <c r="D151" s="468" t="s">
        <v>158</v>
      </c>
      <c r="E151" s="469" t="s">
        <v>159</v>
      </c>
      <c r="F151" s="146">
        <f t="shared" ref="F151:AI151" si="29">F114</f>
        <v>2.3999999999999998E-3</v>
      </c>
      <c r="G151" s="146">
        <f t="shared" si="29"/>
        <v>2.3999999999999998E-3</v>
      </c>
      <c r="H151" s="146">
        <f t="shared" si="29"/>
        <v>7.1999999999999998E-3</v>
      </c>
      <c r="I151" s="146">
        <f t="shared" si="29"/>
        <v>6.3999999999999994E-3</v>
      </c>
      <c r="J151" s="146">
        <f t="shared" si="29"/>
        <v>6.7199999999999996E-2</v>
      </c>
      <c r="K151" s="146">
        <f t="shared" si="29"/>
        <v>6.25E-2</v>
      </c>
      <c r="L151" s="146">
        <f t="shared" si="29"/>
        <v>0</v>
      </c>
      <c r="M151" s="146">
        <f t="shared" si="29"/>
        <v>0</v>
      </c>
      <c r="N151" s="146">
        <f t="shared" si="29"/>
        <v>0</v>
      </c>
      <c r="O151" s="146">
        <f t="shared" si="29"/>
        <v>0</v>
      </c>
      <c r="P151" s="146">
        <f t="shared" si="29"/>
        <v>0</v>
      </c>
      <c r="Q151" s="146">
        <f t="shared" si="29"/>
        <v>0</v>
      </c>
      <c r="R151" s="146">
        <f t="shared" si="29"/>
        <v>0</v>
      </c>
      <c r="S151" s="146">
        <f t="shared" si="29"/>
        <v>0</v>
      </c>
      <c r="T151" s="146">
        <f t="shared" si="29"/>
        <v>0</v>
      </c>
      <c r="U151" s="146">
        <f t="shared" si="29"/>
        <v>0</v>
      </c>
      <c r="V151" s="146">
        <f t="shared" ref="V151" si="30">V114</f>
        <v>0</v>
      </c>
      <c r="W151" s="146">
        <f t="shared" si="29"/>
        <v>0</v>
      </c>
      <c r="X151" s="146">
        <f t="shared" si="29"/>
        <v>0</v>
      </c>
      <c r="Y151" s="146">
        <f t="shared" si="29"/>
        <v>0</v>
      </c>
      <c r="Z151" s="596">
        <f t="shared" si="29"/>
        <v>0</v>
      </c>
      <c r="AA151" s="596">
        <f t="shared" si="29"/>
        <v>0</v>
      </c>
      <c r="AB151" s="146">
        <f t="shared" si="29"/>
        <v>0</v>
      </c>
      <c r="AC151" s="146">
        <f t="shared" si="29"/>
        <v>0</v>
      </c>
      <c r="AD151" s="146">
        <f t="shared" si="29"/>
        <v>0</v>
      </c>
      <c r="AE151" s="146">
        <f t="shared" si="29"/>
        <v>0</v>
      </c>
      <c r="AF151" s="146">
        <f t="shared" si="29"/>
        <v>0</v>
      </c>
      <c r="AG151" s="146">
        <f t="shared" si="29"/>
        <v>0</v>
      </c>
      <c r="AH151" s="146">
        <f t="shared" si="29"/>
        <v>0</v>
      </c>
      <c r="AI151" s="146">
        <f t="shared" si="29"/>
        <v>0</v>
      </c>
    </row>
    <row r="152" spans="2:35" ht="20.100000000000001" customHeight="1" x14ac:dyDescent="0.25">
      <c r="D152" s="468" t="s">
        <v>154</v>
      </c>
      <c r="E152" s="469" t="s">
        <v>155</v>
      </c>
      <c r="F152" s="146">
        <f t="shared" ref="F152:AI152" si="31">F115</f>
        <v>2.0000000000000001E-4</v>
      </c>
      <c r="G152" s="146">
        <f t="shared" si="31"/>
        <v>2.0000000000000001E-4</v>
      </c>
      <c r="H152" s="146">
        <f t="shared" si="31"/>
        <v>6.0000000000000006E-4</v>
      </c>
      <c r="I152" s="146">
        <f t="shared" si="31"/>
        <v>5.0000000000000001E-4</v>
      </c>
      <c r="J152" s="146">
        <f t="shared" si="31"/>
        <v>5.7999999999999987E-3</v>
      </c>
      <c r="K152" s="146">
        <f t="shared" si="31"/>
        <v>5.3699999999999998E-3</v>
      </c>
      <c r="L152" s="146">
        <f t="shared" si="31"/>
        <v>0</v>
      </c>
      <c r="M152" s="146">
        <f t="shared" si="31"/>
        <v>0</v>
      </c>
      <c r="N152" s="146">
        <f t="shared" si="31"/>
        <v>0</v>
      </c>
      <c r="O152" s="146">
        <f t="shared" si="31"/>
        <v>0</v>
      </c>
      <c r="P152" s="146">
        <f t="shared" si="31"/>
        <v>0</v>
      </c>
      <c r="Q152" s="146">
        <f t="shared" si="31"/>
        <v>0</v>
      </c>
      <c r="R152" s="146">
        <f t="shared" si="31"/>
        <v>0</v>
      </c>
      <c r="S152" s="146">
        <f t="shared" si="31"/>
        <v>0</v>
      </c>
      <c r="T152" s="146">
        <f t="shared" si="31"/>
        <v>0</v>
      </c>
      <c r="U152" s="146">
        <f t="shared" si="31"/>
        <v>0</v>
      </c>
      <c r="V152" s="146">
        <f t="shared" ref="V152" si="32">V115</f>
        <v>0</v>
      </c>
      <c r="W152" s="146">
        <f t="shared" si="31"/>
        <v>0</v>
      </c>
      <c r="X152" s="146">
        <f t="shared" si="31"/>
        <v>0</v>
      </c>
      <c r="Y152" s="146">
        <f t="shared" si="31"/>
        <v>0</v>
      </c>
      <c r="Z152" s="596">
        <f t="shared" si="31"/>
        <v>0</v>
      </c>
      <c r="AA152" s="596">
        <f t="shared" si="31"/>
        <v>0</v>
      </c>
      <c r="AB152" s="146">
        <f t="shared" si="31"/>
        <v>0</v>
      </c>
      <c r="AC152" s="146">
        <f t="shared" si="31"/>
        <v>0</v>
      </c>
      <c r="AD152" s="146">
        <f t="shared" si="31"/>
        <v>0</v>
      </c>
      <c r="AE152" s="146">
        <f t="shared" si="31"/>
        <v>0</v>
      </c>
      <c r="AF152" s="146">
        <f t="shared" si="31"/>
        <v>0</v>
      </c>
      <c r="AG152" s="146">
        <f t="shared" si="31"/>
        <v>0</v>
      </c>
      <c r="AH152" s="146">
        <f t="shared" si="31"/>
        <v>0</v>
      </c>
      <c r="AI152" s="146">
        <f t="shared" si="31"/>
        <v>0</v>
      </c>
    </row>
    <row r="153" spans="2:35" ht="20.100000000000001" customHeight="1" x14ac:dyDescent="0.25">
      <c r="D153" s="468" t="s">
        <v>152</v>
      </c>
      <c r="E153" s="469" t="s">
        <v>153</v>
      </c>
      <c r="F153" s="146">
        <f t="shared" ref="F153:AI153" si="33">F116+F137</f>
        <v>0.31059999999999999</v>
      </c>
      <c r="G153" s="146">
        <f t="shared" si="33"/>
        <v>11.522399999999999</v>
      </c>
      <c r="H153" s="146">
        <f t="shared" si="33"/>
        <v>0.31120000000000003</v>
      </c>
      <c r="I153" s="146">
        <f t="shared" si="33"/>
        <v>23.827400000000004</v>
      </c>
      <c r="J153" s="146">
        <f t="shared" si="33"/>
        <v>0.3196</v>
      </c>
      <c r="K153" s="146">
        <f t="shared" si="33"/>
        <v>7.3706899999999997</v>
      </c>
      <c r="L153" s="146">
        <f t="shared" si="33"/>
        <v>0</v>
      </c>
      <c r="M153" s="146">
        <f t="shared" si="33"/>
        <v>0</v>
      </c>
      <c r="N153" s="146">
        <f t="shared" si="33"/>
        <v>0.31030000000000002</v>
      </c>
      <c r="O153" s="146">
        <f t="shared" si="33"/>
        <v>4.9367999999999999</v>
      </c>
      <c r="P153" s="146">
        <f t="shared" si="33"/>
        <v>0.31030000000000002</v>
      </c>
      <c r="Q153" s="146">
        <f t="shared" si="33"/>
        <v>8.7132000000000023</v>
      </c>
      <c r="R153" s="146">
        <f t="shared" si="33"/>
        <v>0.31030000000000002</v>
      </c>
      <c r="S153" s="146">
        <f t="shared" si="33"/>
        <v>3.5957000000000003</v>
      </c>
      <c r="T153" s="146">
        <f t="shared" si="33"/>
        <v>0.31030000000000002</v>
      </c>
      <c r="U153" s="146">
        <f t="shared" si="33"/>
        <v>13.3749</v>
      </c>
      <c r="V153" s="146">
        <f t="shared" ref="V153" si="34">V116+V137</f>
        <v>0.31030000000000002</v>
      </c>
      <c r="W153" s="146">
        <f t="shared" si="33"/>
        <v>4.5125000000000002</v>
      </c>
      <c r="X153" s="146">
        <f t="shared" si="33"/>
        <v>0.31030000000000002</v>
      </c>
      <c r="Y153" s="146">
        <f t="shared" si="33"/>
        <v>13.022600000000002</v>
      </c>
      <c r="Z153" s="596">
        <f t="shared" si="33"/>
        <v>0.31030000000000002</v>
      </c>
      <c r="AA153" s="596">
        <f t="shared" si="33"/>
        <v>12.028400000000001</v>
      </c>
      <c r="AB153" s="146">
        <f t="shared" si="33"/>
        <v>0.31030000000000002</v>
      </c>
      <c r="AC153" s="146">
        <f t="shared" si="33"/>
        <v>3.7399</v>
      </c>
      <c r="AD153" s="146">
        <f t="shared" si="33"/>
        <v>0.31030000000000002</v>
      </c>
      <c r="AE153" s="146">
        <f t="shared" si="33"/>
        <v>17.4253</v>
      </c>
      <c r="AF153" s="146">
        <f t="shared" si="33"/>
        <v>0.31030000000000002</v>
      </c>
      <c r="AG153" s="146">
        <f t="shared" si="33"/>
        <v>6.5639000000000003</v>
      </c>
      <c r="AH153" s="146">
        <f t="shared" si="33"/>
        <v>0.24160000000000001</v>
      </c>
      <c r="AI153" s="146">
        <f t="shared" si="33"/>
        <v>2.5299999999999998</v>
      </c>
    </row>
    <row r="154" spans="2:35" ht="20.100000000000001" customHeight="1" x14ac:dyDescent="0.25">
      <c r="D154" s="470" t="s">
        <v>201</v>
      </c>
      <c r="E154" s="471" t="s">
        <v>202</v>
      </c>
      <c r="F154" s="146">
        <f t="shared" ref="F154:AI154" si="35">F117+F138</f>
        <v>5.0500000000000003E-2</v>
      </c>
      <c r="G154" s="146">
        <f t="shared" si="35"/>
        <v>1.8724999999999998</v>
      </c>
      <c r="H154" s="146">
        <f t="shared" si="35"/>
        <v>5.0500000000000003E-2</v>
      </c>
      <c r="I154" s="146">
        <f t="shared" si="35"/>
        <v>3.8720000000000003</v>
      </c>
      <c r="J154" s="146">
        <f t="shared" si="35"/>
        <v>5.0500000000000003E-2</v>
      </c>
      <c r="K154" s="146">
        <f t="shared" si="35"/>
        <v>1.1962999999999997</v>
      </c>
      <c r="L154" s="146">
        <f t="shared" si="35"/>
        <v>0</v>
      </c>
      <c r="M154" s="146">
        <f t="shared" si="35"/>
        <v>0</v>
      </c>
      <c r="N154" s="146">
        <f t="shared" si="35"/>
        <v>5.0500000000000003E-2</v>
      </c>
      <c r="O154" s="146">
        <f t="shared" si="35"/>
        <v>0.80220000000000002</v>
      </c>
      <c r="P154" s="146">
        <f t="shared" si="35"/>
        <v>5.0500000000000003E-2</v>
      </c>
      <c r="Q154" s="146">
        <f t="shared" si="35"/>
        <v>1.4158999999999997</v>
      </c>
      <c r="R154" s="146">
        <f t="shared" si="35"/>
        <v>5.0500000000000003E-2</v>
      </c>
      <c r="S154" s="146">
        <f t="shared" si="35"/>
        <v>0.58440000000000003</v>
      </c>
      <c r="T154" s="146">
        <f t="shared" si="35"/>
        <v>5.0500000000000003E-2</v>
      </c>
      <c r="U154" s="146">
        <f t="shared" si="35"/>
        <v>2.1734</v>
      </c>
      <c r="V154" s="146">
        <f t="shared" ref="V154" si="36">V117+V138</f>
        <v>5.0500000000000003E-2</v>
      </c>
      <c r="W154" s="146">
        <f t="shared" si="35"/>
        <v>0.73329999999999995</v>
      </c>
      <c r="X154" s="146">
        <f t="shared" si="35"/>
        <v>5.0500000000000003E-2</v>
      </c>
      <c r="Y154" s="146">
        <f t="shared" si="35"/>
        <v>2.1162000000000001</v>
      </c>
      <c r="Z154" s="596">
        <f t="shared" si="35"/>
        <v>5.0500000000000003E-2</v>
      </c>
      <c r="AA154" s="596">
        <f t="shared" si="35"/>
        <v>1.9545999999999999</v>
      </c>
      <c r="AB154" s="146">
        <f t="shared" si="35"/>
        <v>5.0500000000000003E-2</v>
      </c>
      <c r="AC154" s="146">
        <f t="shared" si="35"/>
        <v>0.60760000000000003</v>
      </c>
      <c r="AD154" s="146">
        <f t="shared" si="35"/>
        <v>5.0500000000000003E-2</v>
      </c>
      <c r="AE154" s="146">
        <f t="shared" si="35"/>
        <v>2.8315000000000001</v>
      </c>
      <c r="AF154" s="146">
        <f t="shared" si="35"/>
        <v>5.0500000000000003E-2</v>
      </c>
      <c r="AG154" s="146">
        <f t="shared" si="35"/>
        <v>1.0667</v>
      </c>
      <c r="AH154" s="146">
        <f t="shared" si="35"/>
        <v>3.9300000000000002E-2</v>
      </c>
      <c r="AI154" s="146">
        <f t="shared" si="35"/>
        <v>0.41110000000000002</v>
      </c>
    </row>
    <row r="155" spans="2:35" ht="20.100000000000001" customHeight="1" x14ac:dyDescent="0.25">
      <c r="D155" s="470" t="s">
        <v>207</v>
      </c>
      <c r="E155" s="471" t="s">
        <v>208</v>
      </c>
      <c r="F155" s="146">
        <f t="shared" ref="F155:AI155" si="37">F118+F141</f>
        <v>3.9300000000000002E-2</v>
      </c>
      <c r="G155" s="146">
        <f t="shared" si="37"/>
        <v>1.7871999999999999</v>
      </c>
      <c r="H155" s="146">
        <f t="shared" si="37"/>
        <v>3.9300000000000002E-2</v>
      </c>
      <c r="I155" s="146">
        <f t="shared" si="37"/>
        <v>3.8581000000000003</v>
      </c>
      <c r="J155" s="146">
        <f t="shared" si="37"/>
        <v>3.9300000000000002E-2</v>
      </c>
      <c r="K155" s="146">
        <f t="shared" si="37"/>
        <v>1.0758999999999999</v>
      </c>
      <c r="L155" s="146">
        <f t="shared" si="37"/>
        <v>0</v>
      </c>
      <c r="M155" s="146">
        <f t="shared" si="37"/>
        <v>0</v>
      </c>
      <c r="N155" s="146">
        <f t="shared" si="37"/>
        <v>3.9300000000000002E-2</v>
      </c>
      <c r="O155" s="146">
        <f t="shared" si="37"/>
        <v>0.76050000000000006</v>
      </c>
      <c r="P155" s="146">
        <f t="shared" si="37"/>
        <v>3.9300000000000002E-2</v>
      </c>
      <c r="Q155" s="146">
        <f t="shared" si="37"/>
        <v>1.3604999999999998</v>
      </c>
      <c r="R155" s="146">
        <f t="shared" si="37"/>
        <v>3.9300000000000002E-2</v>
      </c>
      <c r="S155" s="146">
        <f t="shared" si="37"/>
        <v>0.5524</v>
      </c>
      <c r="T155" s="146">
        <f t="shared" si="37"/>
        <v>3.9300000000000002E-2</v>
      </c>
      <c r="U155" s="146">
        <f t="shared" si="37"/>
        <v>2.1012999999999997</v>
      </c>
      <c r="V155" s="146">
        <f t="shared" ref="V155" si="38">V118+V141</f>
        <v>3.9300000000000002E-2</v>
      </c>
      <c r="W155" s="146">
        <f t="shared" si="37"/>
        <v>0.70690000000000008</v>
      </c>
      <c r="X155" s="146">
        <f t="shared" si="37"/>
        <v>3.9300000000000002E-2</v>
      </c>
      <c r="Y155" s="146">
        <f t="shared" si="37"/>
        <v>2.0465999999999998</v>
      </c>
      <c r="Z155" s="596">
        <f t="shared" si="37"/>
        <v>3.9300000000000002E-2</v>
      </c>
      <c r="AA155" s="596">
        <f t="shared" si="37"/>
        <v>1.8038999999999998</v>
      </c>
      <c r="AB155" s="146">
        <f t="shared" si="37"/>
        <v>3.9300000000000002E-2</v>
      </c>
      <c r="AC155" s="146">
        <f t="shared" si="37"/>
        <v>0.5577000000000002</v>
      </c>
      <c r="AD155" s="146">
        <f t="shared" si="37"/>
        <v>3.9300000000000002E-2</v>
      </c>
      <c r="AE155" s="146">
        <f t="shared" si="37"/>
        <v>2.7110000000000007</v>
      </c>
      <c r="AF155" s="146">
        <f t="shared" si="37"/>
        <v>3.9300000000000002E-2</v>
      </c>
      <c r="AG155" s="146">
        <f t="shared" si="37"/>
        <v>1.0226</v>
      </c>
      <c r="AH155" s="146">
        <f t="shared" si="37"/>
        <v>3.3500000000000002E-2</v>
      </c>
      <c r="AI155" s="146">
        <f t="shared" si="37"/>
        <v>0.4551</v>
      </c>
    </row>
    <row r="156" spans="2:35" ht="20.100000000000001" customHeight="1" x14ac:dyDescent="0.25">
      <c r="D156" s="470" t="s">
        <v>203</v>
      </c>
      <c r="E156" s="471" t="s">
        <v>204</v>
      </c>
      <c r="F156" s="146">
        <f t="shared" ref="F156:AI156" si="39">F119+F139</f>
        <v>3.9E-2</v>
      </c>
      <c r="G156" s="146">
        <f t="shared" si="39"/>
        <v>1.3311000000000002</v>
      </c>
      <c r="H156" s="146">
        <f t="shared" si="39"/>
        <v>3.9E-2</v>
      </c>
      <c r="I156" s="146">
        <f t="shared" si="39"/>
        <v>2.7300999999999997</v>
      </c>
      <c r="J156" s="146">
        <f t="shared" si="39"/>
        <v>3.9E-2</v>
      </c>
      <c r="K156" s="146">
        <f t="shared" si="39"/>
        <v>0.8156000000000001</v>
      </c>
      <c r="L156" s="146">
        <f t="shared" si="39"/>
        <v>0</v>
      </c>
      <c r="M156" s="146">
        <f t="shared" si="39"/>
        <v>0</v>
      </c>
      <c r="N156" s="146">
        <f t="shared" si="39"/>
        <v>3.9E-2</v>
      </c>
      <c r="O156" s="146">
        <f t="shared" si="39"/>
        <v>0.58200000000000007</v>
      </c>
      <c r="P156" s="146">
        <f t="shared" si="39"/>
        <v>3.9E-2</v>
      </c>
      <c r="Q156" s="146">
        <f t="shared" si="39"/>
        <v>1.0176000000000001</v>
      </c>
      <c r="R156" s="146">
        <f t="shared" si="39"/>
        <v>3.9E-2</v>
      </c>
      <c r="S156" s="146">
        <f t="shared" si="39"/>
        <v>0.4013000000000001</v>
      </c>
      <c r="T156" s="146">
        <f t="shared" si="39"/>
        <v>3.9E-2</v>
      </c>
      <c r="U156" s="146">
        <f t="shared" si="39"/>
        <v>1.5344</v>
      </c>
      <c r="V156" s="146">
        <f t="shared" ref="V156" si="40">V119+V139</f>
        <v>3.9E-2</v>
      </c>
      <c r="W156" s="146">
        <f t="shared" si="39"/>
        <v>0.52420000000000011</v>
      </c>
      <c r="X156" s="146">
        <f t="shared" si="39"/>
        <v>3.9E-2</v>
      </c>
      <c r="Y156" s="146">
        <f t="shared" si="39"/>
        <v>1.4521000000000004</v>
      </c>
      <c r="Z156" s="596">
        <f t="shared" si="39"/>
        <v>3.9E-2</v>
      </c>
      <c r="AA156" s="596">
        <f t="shared" si="39"/>
        <v>1.3657999999999999</v>
      </c>
      <c r="AB156" s="146">
        <f t="shared" si="39"/>
        <v>3.9E-2</v>
      </c>
      <c r="AC156" s="146">
        <f t="shared" si="39"/>
        <v>0.4336000000000001</v>
      </c>
      <c r="AD156" s="146">
        <f t="shared" si="39"/>
        <v>3.9E-2</v>
      </c>
      <c r="AE156" s="146">
        <f t="shared" si="39"/>
        <v>2.0622999999999996</v>
      </c>
      <c r="AF156" s="146">
        <f t="shared" si="39"/>
        <v>3.9E-2</v>
      </c>
      <c r="AG156" s="146">
        <f t="shared" si="39"/>
        <v>0.75319999999999998</v>
      </c>
      <c r="AH156" s="146">
        <f t="shared" si="39"/>
        <v>2.98E-2</v>
      </c>
      <c r="AI156" s="146">
        <f t="shared" si="39"/>
        <v>0.31040000000000001</v>
      </c>
    </row>
    <row r="157" spans="2:35" ht="20.100000000000001" customHeight="1" x14ac:dyDescent="0.25">
      <c r="D157" s="472" t="s">
        <v>269</v>
      </c>
      <c r="E157" s="473" t="s">
        <v>270</v>
      </c>
      <c r="F157" s="146">
        <f t="shared" ref="F157:AI157" si="41">F120</f>
        <v>2.0000000000000002E-5</v>
      </c>
      <c r="G157" s="146">
        <f t="shared" si="41"/>
        <v>1.5E-5</v>
      </c>
      <c r="H157" s="146">
        <f t="shared" si="41"/>
        <v>2.0000000000000002E-5</v>
      </c>
      <c r="I157" s="146">
        <f t="shared" si="41"/>
        <v>3.3000000000000003E-5</v>
      </c>
      <c r="J157" s="146">
        <f t="shared" si="41"/>
        <v>2.0000000000000002E-5</v>
      </c>
      <c r="K157" s="146">
        <f t="shared" si="41"/>
        <v>1.0000000000000001E-5</v>
      </c>
      <c r="L157" s="146">
        <f t="shared" si="41"/>
        <v>0</v>
      </c>
      <c r="M157" s="146">
        <f t="shared" si="41"/>
        <v>0</v>
      </c>
      <c r="N157" s="146">
        <f t="shared" si="41"/>
        <v>2.0000000000000002E-5</v>
      </c>
      <c r="O157" s="146">
        <f t="shared" si="41"/>
        <v>7.9999999999999996E-6</v>
      </c>
      <c r="P157" s="146">
        <f t="shared" si="41"/>
        <v>2.0000000000000002E-5</v>
      </c>
      <c r="Q157" s="146">
        <f t="shared" si="41"/>
        <v>1.2E-5</v>
      </c>
      <c r="R157" s="146">
        <f t="shared" si="41"/>
        <v>2.0000000000000002E-5</v>
      </c>
      <c r="S157" s="146">
        <f t="shared" si="41"/>
        <v>6.9999999999999999E-6</v>
      </c>
      <c r="T157" s="146">
        <f t="shared" si="41"/>
        <v>2.0000000000000002E-5</v>
      </c>
      <c r="U157" s="146">
        <f t="shared" si="41"/>
        <v>1.7E-5</v>
      </c>
      <c r="V157" s="146">
        <f t="shared" ref="V157" si="42">V120</f>
        <v>2.0000000000000002E-5</v>
      </c>
      <c r="W157" s="146">
        <f t="shared" si="41"/>
        <v>7.9999999999999996E-6</v>
      </c>
      <c r="X157" s="146">
        <f t="shared" si="41"/>
        <v>2.0000000000000002E-5</v>
      </c>
      <c r="Y157" s="146">
        <f t="shared" si="41"/>
        <v>1.7E-5</v>
      </c>
      <c r="Z157" s="596">
        <f t="shared" si="41"/>
        <v>2.0000000000000002E-5</v>
      </c>
      <c r="AA157" s="596">
        <f t="shared" si="41"/>
        <v>1.5E-5</v>
      </c>
      <c r="AB157" s="146">
        <f t="shared" si="41"/>
        <v>2.0000000000000002E-5</v>
      </c>
      <c r="AC157" s="146">
        <f t="shared" si="41"/>
        <v>6.0000000000000002E-6</v>
      </c>
      <c r="AD157" s="146">
        <f t="shared" si="41"/>
        <v>2.0000000000000002E-5</v>
      </c>
      <c r="AE157" s="146">
        <f t="shared" si="41"/>
        <v>2.3E-5</v>
      </c>
      <c r="AF157" s="146">
        <f t="shared" si="41"/>
        <v>2.0000000000000002E-5</v>
      </c>
      <c r="AG157" s="146">
        <f t="shared" si="41"/>
        <v>1.0000000000000001E-5</v>
      </c>
      <c r="AH157" s="146">
        <f t="shared" si="41"/>
        <v>2.0000000000000002E-5</v>
      </c>
      <c r="AI157" s="146">
        <f t="shared" si="41"/>
        <v>3.9999999999999998E-6</v>
      </c>
    </row>
    <row r="158" spans="2:35" ht="20.100000000000001" customHeight="1" x14ac:dyDescent="0.25">
      <c r="D158" s="468" t="s">
        <v>161</v>
      </c>
      <c r="E158" s="469" t="s">
        <v>162</v>
      </c>
      <c r="F158" s="146">
        <f t="shared" ref="F158:AI158" si="43">F121+F142</f>
        <v>0.28343420000000003</v>
      </c>
      <c r="G158" s="146">
        <f t="shared" si="43"/>
        <v>8.372388299999999</v>
      </c>
      <c r="H158" s="146">
        <f t="shared" si="43"/>
        <v>0.28940320000000003</v>
      </c>
      <c r="I158" s="146">
        <f t="shared" si="43"/>
        <v>17.460600450000005</v>
      </c>
      <c r="J158" s="146">
        <f t="shared" si="43"/>
        <v>0.36399999999999999</v>
      </c>
      <c r="K158" s="146">
        <f t="shared" si="43"/>
        <v>5.3329000000000013</v>
      </c>
      <c r="L158" s="146">
        <f t="shared" si="43"/>
        <v>0</v>
      </c>
      <c r="M158" s="146">
        <f t="shared" si="43"/>
        <v>0</v>
      </c>
      <c r="N158" s="146">
        <f t="shared" si="43"/>
        <v>0.28040229999999999</v>
      </c>
      <c r="O158" s="146">
        <f t="shared" si="43"/>
        <v>4.0416070499999996</v>
      </c>
      <c r="P158" s="146">
        <f t="shared" si="43"/>
        <v>0.28040019999999999</v>
      </c>
      <c r="Q158" s="146">
        <f t="shared" si="43"/>
        <v>6.43780003</v>
      </c>
      <c r="R158" s="146">
        <f t="shared" si="43"/>
        <v>0.28040229999999999</v>
      </c>
      <c r="S158" s="146">
        <f t="shared" si="43"/>
        <v>2.9966080499999994</v>
      </c>
      <c r="T158" s="146">
        <f t="shared" si="43"/>
        <v>0.28040019999999999</v>
      </c>
      <c r="U158" s="146">
        <f t="shared" si="43"/>
        <v>9.7732000300000017</v>
      </c>
      <c r="V158" s="146">
        <f t="shared" ref="V158" si="44">V121+V142</f>
        <v>0.28040199999999998</v>
      </c>
      <c r="W158" s="146">
        <f t="shared" si="43"/>
        <v>3.7020079999999997</v>
      </c>
      <c r="X158" s="146">
        <f t="shared" si="43"/>
        <v>0.28040039999999999</v>
      </c>
      <c r="Y158" s="146">
        <f t="shared" si="43"/>
        <v>9.5783001000000016</v>
      </c>
      <c r="Z158" s="596">
        <f t="shared" si="43"/>
        <v>0.28040029999999999</v>
      </c>
      <c r="AA158" s="596">
        <f t="shared" si="43"/>
        <v>8.592600019999999</v>
      </c>
      <c r="AB158" s="146">
        <f t="shared" si="43"/>
        <v>0.28040199999999998</v>
      </c>
      <c r="AC158" s="146">
        <f t="shared" si="43"/>
        <v>3.0174089999999993</v>
      </c>
      <c r="AD158" s="146">
        <f t="shared" si="43"/>
        <v>0.28040039999999999</v>
      </c>
      <c r="AE158" s="146">
        <f t="shared" si="43"/>
        <v>12.511400099999999</v>
      </c>
      <c r="AF158" s="146">
        <f t="shared" si="43"/>
        <v>0.28040019999999999</v>
      </c>
      <c r="AG158" s="146">
        <f t="shared" si="43"/>
        <v>5.1490000199999999</v>
      </c>
      <c r="AH158" s="146">
        <f t="shared" si="43"/>
        <v>0.22039999999999998</v>
      </c>
      <c r="AI158" s="146">
        <f t="shared" si="43"/>
        <v>2.1462000000000003</v>
      </c>
    </row>
    <row r="159" spans="2:35" ht="20.100000000000001" customHeight="1" x14ac:dyDescent="0.25">
      <c r="D159" s="468" t="s">
        <v>149</v>
      </c>
      <c r="E159" s="469" t="s">
        <v>150</v>
      </c>
      <c r="F159" s="146">
        <f t="shared" ref="F159:AI159" si="45">F122</f>
        <v>2.0000000000000001E-4</v>
      </c>
      <c r="G159" s="146">
        <f t="shared" si="45"/>
        <v>2.0000000000000001E-4</v>
      </c>
      <c r="H159" s="146">
        <f t="shared" si="45"/>
        <v>6.0000000000000006E-4</v>
      </c>
      <c r="I159" s="146">
        <f t="shared" si="45"/>
        <v>5.0000000000000001E-4</v>
      </c>
      <c r="J159" s="146">
        <f t="shared" si="45"/>
        <v>4.7999999999999987E-3</v>
      </c>
      <c r="K159" s="146">
        <f t="shared" si="45"/>
        <v>4.3399999999999992E-3</v>
      </c>
      <c r="L159" s="146">
        <f t="shared" si="45"/>
        <v>0</v>
      </c>
      <c r="M159" s="146">
        <f t="shared" si="45"/>
        <v>0</v>
      </c>
      <c r="N159" s="146">
        <f t="shared" si="45"/>
        <v>0</v>
      </c>
      <c r="O159" s="146">
        <f t="shared" si="45"/>
        <v>0</v>
      </c>
      <c r="P159" s="146">
        <f t="shared" si="45"/>
        <v>0</v>
      </c>
      <c r="Q159" s="146">
        <f t="shared" si="45"/>
        <v>0</v>
      </c>
      <c r="R159" s="146">
        <f t="shared" si="45"/>
        <v>0</v>
      </c>
      <c r="S159" s="146">
        <f t="shared" si="45"/>
        <v>0</v>
      </c>
      <c r="T159" s="146">
        <f t="shared" si="45"/>
        <v>0</v>
      </c>
      <c r="U159" s="146">
        <f t="shared" si="45"/>
        <v>0</v>
      </c>
      <c r="V159" s="146">
        <f t="shared" ref="V159" si="46">V122</f>
        <v>0</v>
      </c>
      <c r="W159" s="146">
        <f t="shared" si="45"/>
        <v>0</v>
      </c>
      <c r="X159" s="146">
        <f t="shared" si="45"/>
        <v>0</v>
      </c>
      <c r="Y159" s="146">
        <f t="shared" si="45"/>
        <v>0</v>
      </c>
      <c r="Z159" s="596">
        <f t="shared" si="45"/>
        <v>0</v>
      </c>
      <c r="AA159" s="596">
        <f t="shared" si="45"/>
        <v>0</v>
      </c>
      <c r="AB159" s="146">
        <f t="shared" si="45"/>
        <v>0</v>
      </c>
      <c r="AC159" s="146">
        <f t="shared" si="45"/>
        <v>0</v>
      </c>
      <c r="AD159" s="146">
        <f t="shared" si="45"/>
        <v>0</v>
      </c>
      <c r="AE159" s="146">
        <f t="shared" si="45"/>
        <v>0</v>
      </c>
      <c r="AF159" s="146">
        <f t="shared" si="45"/>
        <v>0</v>
      </c>
      <c r="AG159" s="146">
        <f t="shared" si="45"/>
        <v>0</v>
      </c>
      <c r="AH159" s="146">
        <f t="shared" si="45"/>
        <v>0</v>
      </c>
      <c r="AI159" s="146">
        <f t="shared" si="45"/>
        <v>0</v>
      </c>
    </row>
    <row r="160" spans="2:35" ht="20.100000000000001" customHeight="1" x14ac:dyDescent="0.25">
      <c r="D160" s="468" t="s">
        <v>156</v>
      </c>
      <c r="E160" s="469" t="s">
        <v>157</v>
      </c>
      <c r="F160" s="146">
        <f t="shared" ref="F160:AI160" si="47">F123</f>
        <v>6.9999999999999999E-4</v>
      </c>
      <c r="G160" s="146">
        <f t="shared" si="47"/>
        <v>6.9999999999999999E-4</v>
      </c>
      <c r="H160" s="146">
        <f t="shared" si="47"/>
        <v>2.0999999999999999E-3</v>
      </c>
      <c r="I160" s="146">
        <f t="shared" si="47"/>
        <v>2E-3</v>
      </c>
      <c r="J160" s="146">
        <f t="shared" si="47"/>
        <v>2.0599999999999997E-2</v>
      </c>
      <c r="K160" s="146">
        <f t="shared" si="47"/>
        <v>1.9399999999999997E-2</v>
      </c>
      <c r="L160" s="146">
        <f t="shared" si="47"/>
        <v>0</v>
      </c>
      <c r="M160" s="146">
        <f t="shared" si="47"/>
        <v>0</v>
      </c>
      <c r="N160" s="146">
        <f t="shared" si="47"/>
        <v>0</v>
      </c>
      <c r="O160" s="146">
        <f t="shared" si="47"/>
        <v>0</v>
      </c>
      <c r="P160" s="146">
        <f t="shared" si="47"/>
        <v>0</v>
      </c>
      <c r="Q160" s="146">
        <f t="shared" si="47"/>
        <v>0</v>
      </c>
      <c r="R160" s="146">
        <f t="shared" si="47"/>
        <v>0</v>
      </c>
      <c r="S160" s="146">
        <f t="shared" si="47"/>
        <v>0</v>
      </c>
      <c r="T160" s="146">
        <f t="shared" si="47"/>
        <v>0</v>
      </c>
      <c r="U160" s="146">
        <f t="shared" si="47"/>
        <v>0</v>
      </c>
      <c r="V160" s="146">
        <f t="shared" ref="V160" si="48">V123</f>
        <v>0</v>
      </c>
      <c r="W160" s="146">
        <f t="shared" si="47"/>
        <v>0</v>
      </c>
      <c r="X160" s="146">
        <f t="shared" si="47"/>
        <v>0</v>
      </c>
      <c r="Y160" s="146">
        <f t="shared" si="47"/>
        <v>0</v>
      </c>
      <c r="Z160" s="596">
        <f t="shared" si="47"/>
        <v>0</v>
      </c>
      <c r="AA160" s="596">
        <f t="shared" si="47"/>
        <v>0</v>
      </c>
      <c r="AB160" s="146">
        <f t="shared" si="47"/>
        <v>0</v>
      </c>
      <c r="AC160" s="146">
        <f t="shared" si="47"/>
        <v>0</v>
      </c>
      <c r="AD160" s="146">
        <f t="shared" si="47"/>
        <v>0</v>
      </c>
      <c r="AE160" s="146">
        <f t="shared" si="47"/>
        <v>0</v>
      </c>
      <c r="AF160" s="146">
        <f t="shared" si="47"/>
        <v>0</v>
      </c>
      <c r="AG160" s="146">
        <f t="shared" si="47"/>
        <v>0</v>
      </c>
      <c r="AH160" s="146">
        <f t="shared" si="47"/>
        <v>0</v>
      </c>
      <c r="AI160" s="146">
        <f t="shared" si="47"/>
        <v>0</v>
      </c>
    </row>
    <row r="161" spans="4:35" ht="20.100000000000001" customHeight="1" x14ac:dyDescent="0.25">
      <c r="D161" s="475" t="s">
        <v>639</v>
      </c>
      <c r="E161" s="476" t="s">
        <v>640</v>
      </c>
      <c r="F161" s="146">
        <f t="shared" ref="F161:U162" si="49">F124</f>
        <v>2.9999999999999999E-7</v>
      </c>
      <c r="G161" s="146">
        <f t="shared" si="49"/>
        <v>1.3E-7</v>
      </c>
      <c r="H161" s="146">
        <f t="shared" si="49"/>
        <v>2.9999999999999999E-7</v>
      </c>
      <c r="I161" s="146">
        <f t="shared" si="49"/>
        <v>2.3699999999999999E-7</v>
      </c>
      <c r="J161" s="146">
        <f t="shared" si="49"/>
        <v>2.9999999999999999E-7</v>
      </c>
      <c r="K161" s="146">
        <f t="shared" si="49"/>
        <v>8.6999999999999998E-8</v>
      </c>
      <c r="L161" s="146">
        <f t="shared" si="49"/>
        <v>0</v>
      </c>
      <c r="M161" s="146">
        <f t="shared" si="49"/>
        <v>0</v>
      </c>
      <c r="N161" s="146">
        <f t="shared" si="49"/>
        <v>2.9999999999999999E-7</v>
      </c>
      <c r="O161" s="146">
        <f t="shared" si="49"/>
        <v>2.1399999999999998E-7</v>
      </c>
      <c r="P161" s="146">
        <f t="shared" si="49"/>
        <v>2.9999999999999999E-7</v>
      </c>
      <c r="Q161" s="146">
        <f t="shared" si="49"/>
        <v>1.91E-7</v>
      </c>
      <c r="R161" s="146">
        <f t="shared" si="49"/>
        <v>2.9999999999999999E-7</v>
      </c>
      <c r="S161" s="146">
        <f t="shared" si="49"/>
        <v>2.1399999999999998E-7</v>
      </c>
      <c r="T161" s="146">
        <f t="shared" si="49"/>
        <v>2.9999999999999999E-7</v>
      </c>
      <c r="U161" s="146">
        <f t="shared" si="49"/>
        <v>2.1399999999999998E-7</v>
      </c>
      <c r="V161" s="146">
        <f t="shared" ref="V161" si="50">V124</f>
        <v>2.9999999999999999E-7</v>
      </c>
      <c r="W161" s="146">
        <f t="shared" ref="G161:AI162" si="51">W124</f>
        <v>1.91E-7</v>
      </c>
      <c r="X161" s="146">
        <f t="shared" si="51"/>
        <v>2.9999999999999999E-7</v>
      </c>
      <c r="Y161" s="146">
        <f t="shared" si="51"/>
        <v>2.3699999999999999E-7</v>
      </c>
      <c r="Z161" s="596">
        <f t="shared" si="51"/>
        <v>2.9999999999999999E-7</v>
      </c>
      <c r="AA161" s="596">
        <f t="shared" si="51"/>
        <v>2.03E-7</v>
      </c>
      <c r="AB161" s="146">
        <f t="shared" si="51"/>
        <v>2.9999999999999999E-7</v>
      </c>
      <c r="AC161" s="146">
        <f t="shared" si="51"/>
        <v>1.3E-7</v>
      </c>
      <c r="AD161" s="146">
        <f t="shared" si="51"/>
        <v>2.9999999999999999E-7</v>
      </c>
      <c r="AE161" s="146">
        <f t="shared" si="51"/>
        <v>2.3699999999999999E-7</v>
      </c>
      <c r="AF161" s="146">
        <f t="shared" si="51"/>
        <v>2.9999999999999999E-7</v>
      </c>
      <c r="AG161" s="146">
        <f t="shared" si="51"/>
        <v>2.3699999999999999E-7</v>
      </c>
      <c r="AH161" s="146">
        <f t="shared" si="51"/>
        <v>1.9999999999999999E-7</v>
      </c>
      <c r="AI161" s="146">
        <f t="shared" si="51"/>
        <v>5.7000000000000001E-8</v>
      </c>
    </row>
    <row r="162" spans="4:35" ht="20.100000000000001" customHeight="1" x14ac:dyDescent="0.25">
      <c r="D162" s="474" t="s">
        <v>171</v>
      </c>
      <c r="E162" s="469" t="s">
        <v>172</v>
      </c>
      <c r="F162" s="146">
        <f t="shared" si="49"/>
        <v>1.4400000000000001E-5</v>
      </c>
      <c r="G162" s="146">
        <f t="shared" si="51"/>
        <v>3.8099999999999998E-5</v>
      </c>
      <c r="H162" s="146">
        <f t="shared" si="51"/>
        <v>1.2999999999999998E-6</v>
      </c>
      <c r="I162" s="146">
        <f t="shared" si="51"/>
        <v>1.5999999999999998E-7</v>
      </c>
      <c r="J162" s="146">
        <f t="shared" si="51"/>
        <v>0</v>
      </c>
      <c r="K162" s="146">
        <f t="shared" si="51"/>
        <v>0</v>
      </c>
      <c r="L162" s="146">
        <f t="shared" si="51"/>
        <v>0</v>
      </c>
      <c r="M162" s="146">
        <f t="shared" si="51"/>
        <v>0</v>
      </c>
      <c r="N162" s="146">
        <f t="shared" si="51"/>
        <v>1.1000000000000001E-6</v>
      </c>
      <c r="O162" s="146">
        <f t="shared" si="51"/>
        <v>3.0199999999999999E-6</v>
      </c>
      <c r="P162" s="146">
        <f t="shared" si="51"/>
        <v>9.9999999999999995E-8</v>
      </c>
      <c r="Q162" s="146">
        <f t="shared" si="51"/>
        <v>1E-8</v>
      </c>
      <c r="R162" s="146">
        <f t="shared" si="51"/>
        <v>1.1000000000000001E-6</v>
      </c>
      <c r="S162" s="146">
        <f t="shared" si="51"/>
        <v>3.0199999999999999E-6</v>
      </c>
      <c r="T162" s="146">
        <f t="shared" si="51"/>
        <v>9.9999999999999995E-8</v>
      </c>
      <c r="U162" s="146">
        <f t="shared" si="51"/>
        <v>1E-8</v>
      </c>
      <c r="V162" s="146">
        <f t="shared" ref="V162" si="52">V125</f>
        <v>9.9999999999999995E-7</v>
      </c>
      <c r="W162" s="146">
        <f t="shared" si="51"/>
        <v>3.9999999999999998E-6</v>
      </c>
      <c r="X162" s="146">
        <f t="shared" si="51"/>
        <v>9.9999999999999995E-8</v>
      </c>
      <c r="Y162" s="146">
        <f t="shared" si="51"/>
        <v>2.9999999999999997E-8</v>
      </c>
      <c r="Z162" s="596">
        <f t="shared" si="51"/>
        <v>9.9999999999999995E-8</v>
      </c>
      <c r="AA162" s="596">
        <f t="shared" si="51"/>
        <v>1E-8</v>
      </c>
      <c r="AB162" s="146">
        <f t="shared" si="51"/>
        <v>9.9999999999999995E-7</v>
      </c>
      <c r="AC162" s="146">
        <f t="shared" si="51"/>
        <v>3.9999999999999998E-6</v>
      </c>
      <c r="AD162" s="146">
        <f t="shared" si="51"/>
        <v>9.9999999999999995E-8</v>
      </c>
      <c r="AE162" s="146">
        <f t="shared" si="51"/>
        <v>2E-8</v>
      </c>
      <c r="AF162" s="146">
        <f t="shared" si="51"/>
        <v>9.9999999999999995E-8</v>
      </c>
      <c r="AG162" s="146">
        <f t="shared" si="51"/>
        <v>1E-8</v>
      </c>
      <c r="AH162" s="146">
        <f t="shared" si="51"/>
        <v>0</v>
      </c>
      <c r="AI162" s="146">
        <f t="shared" si="51"/>
        <v>0</v>
      </c>
    </row>
    <row r="163" spans="4:35" ht="20.100000000000001" customHeight="1" x14ac:dyDescent="0.25">
      <c r="D163" s="477" t="s">
        <v>248</v>
      </c>
      <c r="E163" s="478" t="s">
        <v>249</v>
      </c>
      <c r="F163" s="146">
        <f t="shared" ref="F163:AI163" si="53">F126</f>
        <v>3.3999999999999998E-3</v>
      </c>
      <c r="G163" s="146">
        <f t="shared" si="53"/>
        <v>1.39E-3</v>
      </c>
      <c r="H163" s="146">
        <f t="shared" si="53"/>
        <v>3.3999999999999998E-3</v>
      </c>
      <c r="I163" s="146">
        <f t="shared" si="53"/>
        <v>2.3899999999999998E-3</v>
      </c>
      <c r="J163" s="146">
        <f t="shared" si="53"/>
        <v>3.3999999999999998E-3</v>
      </c>
      <c r="K163" s="146">
        <f t="shared" si="53"/>
        <v>9.8999999999999999E-4</v>
      </c>
      <c r="L163" s="146">
        <f t="shared" si="53"/>
        <v>0</v>
      </c>
      <c r="M163" s="146">
        <f t="shared" si="53"/>
        <v>0</v>
      </c>
      <c r="N163" s="146">
        <f t="shared" si="53"/>
        <v>3.3999999999999998E-3</v>
      </c>
      <c r="O163" s="146">
        <f t="shared" si="53"/>
        <v>2E-3</v>
      </c>
      <c r="P163" s="146">
        <f t="shared" si="53"/>
        <v>3.3999999999999998E-3</v>
      </c>
      <c r="Q163" s="146">
        <f t="shared" si="53"/>
        <v>1.5999999999999999E-3</v>
      </c>
      <c r="R163" s="146">
        <f t="shared" si="53"/>
        <v>3.3999999999999998E-3</v>
      </c>
      <c r="S163" s="146">
        <f t="shared" si="53"/>
        <v>2E-3</v>
      </c>
      <c r="T163" s="146">
        <f t="shared" si="53"/>
        <v>3.3999999999999998E-3</v>
      </c>
      <c r="U163" s="146">
        <f t="shared" si="53"/>
        <v>2E-3</v>
      </c>
      <c r="V163" s="146">
        <f t="shared" ref="V163" si="54">V126</f>
        <v>3.3999999999999998E-3</v>
      </c>
      <c r="W163" s="146">
        <f t="shared" si="53"/>
        <v>1.5999999999999999E-3</v>
      </c>
      <c r="X163" s="146">
        <f t="shared" si="53"/>
        <v>3.3999999999999998E-3</v>
      </c>
      <c r="Y163" s="146">
        <f t="shared" si="53"/>
        <v>2.3800000000000002E-3</v>
      </c>
      <c r="Z163" s="596">
        <f t="shared" si="53"/>
        <v>3.3999999999999998E-3</v>
      </c>
      <c r="AA163" s="596">
        <f t="shared" si="53"/>
        <v>1.7899999999999999E-3</v>
      </c>
      <c r="AB163" s="146">
        <f t="shared" si="53"/>
        <v>3.3999999999999998E-3</v>
      </c>
      <c r="AC163" s="146">
        <f t="shared" si="53"/>
        <v>1.39E-3</v>
      </c>
      <c r="AD163" s="146">
        <f t="shared" si="53"/>
        <v>3.3999999999999998E-3</v>
      </c>
      <c r="AE163" s="146">
        <f t="shared" si="53"/>
        <v>2.3800000000000002E-3</v>
      </c>
      <c r="AF163" s="146">
        <f t="shared" si="53"/>
        <v>3.3999999999999998E-3</v>
      </c>
      <c r="AG163" s="146">
        <f t="shared" si="53"/>
        <v>2.3800000000000002E-3</v>
      </c>
      <c r="AH163" s="146">
        <f t="shared" si="53"/>
        <v>2.0999999999999999E-3</v>
      </c>
      <c r="AI163" s="146">
        <f t="shared" si="53"/>
        <v>6.2E-4</v>
      </c>
    </row>
    <row r="164" spans="4:35" ht="20.100000000000001" customHeight="1" x14ac:dyDescent="0.25">
      <c r="D164" s="579" t="s">
        <v>205</v>
      </c>
      <c r="E164" s="580" t="s">
        <v>206</v>
      </c>
      <c r="F164" s="146">
        <f t="shared" ref="F164:AI164" si="55">F140</f>
        <v>3.32E-2</v>
      </c>
      <c r="G164" s="146">
        <f t="shared" si="55"/>
        <v>2.6682000000000001</v>
      </c>
      <c r="H164" s="146">
        <f t="shared" si="55"/>
        <v>3.32E-2</v>
      </c>
      <c r="I164" s="146">
        <f t="shared" si="55"/>
        <v>5.5900999999999996</v>
      </c>
      <c r="J164" s="146">
        <f t="shared" si="55"/>
        <v>3.32E-2</v>
      </c>
      <c r="K164" s="146">
        <f t="shared" si="55"/>
        <v>1.6676</v>
      </c>
      <c r="L164" s="146">
        <f t="shared" si="55"/>
        <v>0</v>
      </c>
      <c r="M164" s="146">
        <f t="shared" si="55"/>
        <v>0</v>
      </c>
      <c r="N164" s="146">
        <f t="shared" si="55"/>
        <v>3.32E-2</v>
      </c>
      <c r="O164" s="146">
        <f t="shared" si="55"/>
        <v>1.1675999999999997</v>
      </c>
      <c r="P164" s="146">
        <f t="shared" si="55"/>
        <v>3.32E-2</v>
      </c>
      <c r="Q164" s="146">
        <f t="shared" si="55"/>
        <v>2.0287000000000002</v>
      </c>
      <c r="R164" s="146">
        <f t="shared" si="55"/>
        <v>3.32E-2</v>
      </c>
      <c r="S164" s="146">
        <f t="shared" si="55"/>
        <v>0.84650000000000003</v>
      </c>
      <c r="T164" s="146">
        <f t="shared" si="55"/>
        <v>3.32E-2</v>
      </c>
      <c r="U164" s="146">
        <f t="shared" si="55"/>
        <v>3.1123000000000003</v>
      </c>
      <c r="V164" s="146">
        <f t="shared" ref="V164" si="56">V140</f>
        <v>3.32E-2</v>
      </c>
      <c r="W164" s="146">
        <f t="shared" si="55"/>
        <v>1.0761000000000001</v>
      </c>
      <c r="X164" s="146">
        <f t="shared" si="55"/>
        <v>3.32E-2</v>
      </c>
      <c r="Y164" s="146">
        <f t="shared" si="55"/>
        <v>3.0261999999999998</v>
      </c>
      <c r="Z164" s="596">
        <f t="shared" si="55"/>
        <v>3.32E-2</v>
      </c>
      <c r="AA164" s="596">
        <f t="shared" si="55"/>
        <v>2.7440999999999995</v>
      </c>
      <c r="AB164" s="146">
        <f t="shared" si="55"/>
        <v>3.32E-2</v>
      </c>
      <c r="AC164" s="146">
        <f t="shared" si="55"/>
        <v>0.87639999999999985</v>
      </c>
      <c r="AD164" s="146">
        <f t="shared" si="55"/>
        <v>3.32E-2</v>
      </c>
      <c r="AE164" s="146">
        <f t="shared" si="55"/>
        <v>4.0270999999999999</v>
      </c>
      <c r="AF164" s="146">
        <f t="shared" si="55"/>
        <v>3.32E-2</v>
      </c>
      <c r="AG164" s="146">
        <f t="shared" si="55"/>
        <v>1.5407</v>
      </c>
      <c r="AH164" s="146">
        <f t="shared" si="55"/>
        <v>3.32E-2</v>
      </c>
      <c r="AI164" s="146">
        <f t="shared" si="55"/>
        <v>0.63240000000000007</v>
      </c>
    </row>
    <row r="165" spans="4:35" ht="20.100000000000001" customHeight="1" x14ac:dyDescent="0.25">
      <c r="D165" s="479" t="s">
        <v>268</v>
      </c>
      <c r="E165" s="480">
        <v>2754</v>
      </c>
      <c r="F165" s="146">
        <f t="shared" ref="F165:AI165" si="57">F127</f>
        <v>8.6300000000000002E-2</v>
      </c>
      <c r="G165" s="146">
        <f t="shared" si="57"/>
        <v>4.0300000000000002E-2</v>
      </c>
      <c r="H165" s="146">
        <f t="shared" si="57"/>
        <v>8.6300000000000002E-2</v>
      </c>
      <c r="I165" s="146">
        <f t="shared" si="57"/>
        <v>7.1400000000000005E-2</v>
      </c>
      <c r="J165" s="146">
        <f t="shared" si="57"/>
        <v>8.6300000000000002E-2</v>
      </c>
      <c r="K165" s="146">
        <f t="shared" si="57"/>
        <v>2.844E-2</v>
      </c>
      <c r="L165" s="146">
        <f t="shared" si="57"/>
        <v>0</v>
      </c>
      <c r="M165" s="146">
        <f t="shared" si="57"/>
        <v>0</v>
      </c>
      <c r="N165" s="146">
        <f t="shared" si="57"/>
        <v>8.6300000000000002E-2</v>
      </c>
      <c r="O165" s="146">
        <f t="shared" si="57"/>
        <v>5.2900000000000003E-2</v>
      </c>
      <c r="P165" s="146">
        <f t="shared" si="57"/>
        <v>8.6300000000000002E-2</v>
      </c>
      <c r="Q165" s="146">
        <f t="shared" si="57"/>
        <v>4.4060000000000002E-2</v>
      </c>
      <c r="R165" s="146">
        <f t="shared" si="57"/>
        <v>8.6300000000000002E-2</v>
      </c>
      <c r="S165" s="146">
        <f t="shared" si="57"/>
        <v>5.2290000000000003E-2</v>
      </c>
      <c r="T165" s="146">
        <f t="shared" si="57"/>
        <v>8.6300000000000002E-2</v>
      </c>
      <c r="U165" s="146">
        <f t="shared" si="57"/>
        <v>5.5969999999999999E-2</v>
      </c>
      <c r="V165" s="146">
        <f t="shared" ref="V165" si="58">V127</f>
        <v>8.6300000000000002E-2</v>
      </c>
      <c r="W165" s="146">
        <f t="shared" si="57"/>
        <v>4.2700000000000002E-2</v>
      </c>
      <c r="X165" s="146">
        <f t="shared" si="57"/>
        <v>8.6300000000000002E-2</v>
      </c>
      <c r="Y165" s="146">
        <f t="shared" si="57"/>
        <v>6.5879999999999994E-2</v>
      </c>
      <c r="Z165" s="596">
        <f t="shared" si="57"/>
        <v>8.6300000000000002E-2</v>
      </c>
      <c r="AA165" s="596">
        <f t="shared" si="57"/>
        <v>5.0099999999999999E-2</v>
      </c>
      <c r="AB165" s="146">
        <f t="shared" si="57"/>
        <v>8.6300000000000002E-2</v>
      </c>
      <c r="AC165" s="146">
        <f t="shared" si="57"/>
        <v>3.721E-2</v>
      </c>
      <c r="AD165" s="146">
        <f t="shared" si="57"/>
        <v>8.6300000000000002E-2</v>
      </c>
      <c r="AE165" s="146">
        <f t="shared" si="57"/>
        <v>6.7970000000000003E-2</v>
      </c>
      <c r="AF165" s="146">
        <f t="shared" si="57"/>
        <v>8.6300000000000002E-2</v>
      </c>
      <c r="AG165" s="146">
        <f t="shared" si="57"/>
        <v>6.3289999999999999E-2</v>
      </c>
      <c r="AH165" s="146">
        <f t="shared" si="57"/>
        <v>5.6300000000000003E-2</v>
      </c>
      <c r="AI165" s="146">
        <f t="shared" si="57"/>
        <v>1.712E-2</v>
      </c>
    </row>
    <row r="166" spans="4:35" ht="20.100000000000001" customHeight="1" x14ac:dyDescent="0.25">
      <c r="D166" s="481" t="s">
        <v>56</v>
      </c>
      <c r="E166" s="482" t="s">
        <v>57</v>
      </c>
      <c r="F166" s="146">
        <f t="shared" ref="F166:AI166" si="59">F128</f>
        <v>5.1136999999999988</v>
      </c>
      <c r="G166" s="146">
        <f t="shared" si="59"/>
        <v>9.2378999999999998</v>
      </c>
      <c r="H166" s="146">
        <f t="shared" si="59"/>
        <v>1.7410999999999999</v>
      </c>
      <c r="I166" s="146">
        <f t="shared" si="59"/>
        <v>4.7698000000000009</v>
      </c>
      <c r="J166" s="146">
        <f t="shared" si="59"/>
        <v>0.31879999999999997</v>
      </c>
      <c r="K166" s="146">
        <f t="shared" si="59"/>
        <v>0.95872000000000013</v>
      </c>
      <c r="L166" s="146">
        <f t="shared" si="59"/>
        <v>1.6999999999999999E-3</v>
      </c>
      <c r="M166" s="146">
        <f t="shared" si="59"/>
        <v>1.35E-2</v>
      </c>
      <c r="N166" s="146">
        <f t="shared" si="59"/>
        <v>0.75259999999999994</v>
      </c>
      <c r="O166" s="146">
        <f t="shared" si="59"/>
        <v>2.1622000000000003</v>
      </c>
      <c r="P166" s="146">
        <f t="shared" si="59"/>
        <v>0.24230000000000002</v>
      </c>
      <c r="Q166" s="146">
        <f t="shared" si="59"/>
        <v>1.2806999999999999</v>
      </c>
      <c r="R166" s="146">
        <f t="shared" si="59"/>
        <v>0.80859999999999999</v>
      </c>
      <c r="S166" s="146">
        <f t="shared" si="59"/>
        <v>1.93</v>
      </c>
      <c r="T166" s="146">
        <f t="shared" si="59"/>
        <v>0.29879999999999995</v>
      </c>
      <c r="U166" s="146">
        <f t="shared" si="59"/>
        <v>1.6674</v>
      </c>
      <c r="V166" s="146">
        <f t="shared" ref="V166" si="60">V128</f>
        <v>0.7551000000000001</v>
      </c>
      <c r="W166" s="146">
        <f t="shared" si="59"/>
        <v>2.0434999999999999</v>
      </c>
      <c r="X166" s="146">
        <f t="shared" si="59"/>
        <v>0.22320000000000001</v>
      </c>
      <c r="Y166" s="146">
        <f t="shared" si="59"/>
        <v>1.6609000000000003</v>
      </c>
      <c r="Z166" s="596">
        <f t="shared" si="59"/>
        <v>0.1802</v>
      </c>
      <c r="AA166" s="596">
        <f t="shared" si="59"/>
        <v>0.88049999999999995</v>
      </c>
      <c r="AB166" s="146">
        <f t="shared" si="59"/>
        <v>0.85699999999999998</v>
      </c>
      <c r="AC166" s="146">
        <f t="shared" si="59"/>
        <v>2.4588999999999999</v>
      </c>
      <c r="AD166" s="146">
        <f t="shared" si="59"/>
        <v>0.22950000000000001</v>
      </c>
      <c r="AE166" s="146">
        <f t="shared" si="59"/>
        <v>1.8656999999999999</v>
      </c>
      <c r="AF166" s="146">
        <f t="shared" si="59"/>
        <v>0.25159999999999999</v>
      </c>
      <c r="AG166" s="146">
        <f t="shared" si="59"/>
        <v>1.3721999999999999</v>
      </c>
      <c r="AH166" s="146">
        <f t="shared" si="59"/>
        <v>5.9799999999999999E-2</v>
      </c>
      <c r="AI166" s="146">
        <f t="shared" si="59"/>
        <v>0.1537</v>
      </c>
    </row>
    <row r="167" spans="4:35" ht="20.100000000000001" customHeight="1" x14ac:dyDescent="0.25">
      <c r="D167" s="744" t="s">
        <v>468</v>
      </c>
      <c r="E167" s="745"/>
      <c r="F167" s="148">
        <f t="shared" ref="F167:AI167" si="61">SUM(F151:F166)</f>
        <v>5.962968899999999</v>
      </c>
      <c r="G167" s="148">
        <f t="shared" si="61"/>
        <v>36.836931530000001</v>
      </c>
      <c r="H167" s="148">
        <f t="shared" si="61"/>
        <v>2.6039247999999997</v>
      </c>
      <c r="I167" s="582">
        <f t="shared" si="61"/>
        <v>62.191323847000021</v>
      </c>
      <c r="J167" s="148">
        <f t="shared" si="61"/>
        <v>1.3525202999999999</v>
      </c>
      <c r="K167" s="585">
        <f t="shared" si="61"/>
        <v>18.538760087</v>
      </c>
      <c r="L167" s="148">
        <f t="shared" si="61"/>
        <v>1.6999999999999999E-3</v>
      </c>
      <c r="M167" s="148">
        <f t="shared" si="61"/>
        <v>1.35E-2</v>
      </c>
      <c r="N167" s="148">
        <f t="shared" si="61"/>
        <v>1.5950236999999998</v>
      </c>
      <c r="O167" s="148">
        <f t="shared" si="61"/>
        <v>14.507818283999999</v>
      </c>
      <c r="P167" s="148">
        <f t="shared" si="61"/>
        <v>1.0847206</v>
      </c>
      <c r="Q167" s="589">
        <f t="shared" si="61"/>
        <v>22.300072231000005</v>
      </c>
      <c r="R167" s="148">
        <f t="shared" si="61"/>
        <v>1.6510236999999999</v>
      </c>
      <c r="S167" s="148">
        <f t="shared" si="61"/>
        <v>10.961208284</v>
      </c>
      <c r="T167" s="148">
        <f t="shared" si="61"/>
        <v>1.1412206</v>
      </c>
      <c r="U167" s="590">
        <f t="shared" si="61"/>
        <v>33.794887254000002</v>
      </c>
      <c r="V167" s="148">
        <f t="shared" si="61"/>
        <v>1.5975233000000002</v>
      </c>
      <c r="W167" s="590">
        <f t="shared" si="61"/>
        <v>13.342820191000001</v>
      </c>
      <c r="X167" s="148">
        <f t="shared" si="61"/>
        <v>1.0656207999999998</v>
      </c>
      <c r="Y167" s="148">
        <f t="shared" si="61"/>
        <v>32.971177366999996</v>
      </c>
      <c r="Z167" s="597">
        <f t="shared" si="61"/>
        <v>1.0226206999999998</v>
      </c>
      <c r="AA167" s="597">
        <f t="shared" si="61"/>
        <v>29.421805233000001</v>
      </c>
      <c r="AB167" s="148">
        <f t="shared" si="61"/>
        <v>1.6994232999999999</v>
      </c>
      <c r="AC167" s="148">
        <f t="shared" si="61"/>
        <v>11.730119130000002</v>
      </c>
      <c r="AD167" s="148">
        <f t="shared" si="61"/>
        <v>1.0719207999999998</v>
      </c>
      <c r="AE167" s="148">
        <f t="shared" si="61"/>
        <v>43.504673357000001</v>
      </c>
      <c r="AF167" s="148">
        <f t="shared" si="61"/>
        <v>1.0940205999999999</v>
      </c>
      <c r="AG167" s="148">
        <f t="shared" si="61"/>
        <v>17.533980267</v>
      </c>
      <c r="AH167" s="148">
        <f t="shared" si="61"/>
        <v>0.7160202</v>
      </c>
      <c r="AI167" s="148">
        <f t="shared" si="61"/>
        <v>6.6566440570000003</v>
      </c>
    </row>
    <row r="169" spans="4:35" x14ac:dyDescent="0.25">
      <c r="F169" s="142">
        <f t="shared" ref="F169:AI169" si="62">F129+F143</f>
        <v>5.962968899999999</v>
      </c>
      <c r="G169" s="142">
        <f t="shared" si="62"/>
        <v>36.836931530000001</v>
      </c>
      <c r="H169" s="142">
        <f t="shared" si="62"/>
        <v>2.6039247999999997</v>
      </c>
      <c r="I169" s="142">
        <f t="shared" si="62"/>
        <v>62.191323847000007</v>
      </c>
      <c r="J169" s="142">
        <f t="shared" si="62"/>
        <v>1.3525203000000001</v>
      </c>
      <c r="K169" s="142">
        <f t="shared" si="62"/>
        <v>18.538760087</v>
      </c>
      <c r="L169" s="142">
        <f t="shared" si="62"/>
        <v>1.6999999999999999E-3</v>
      </c>
      <c r="M169" s="142">
        <f t="shared" si="62"/>
        <v>1.35E-2</v>
      </c>
      <c r="N169" s="142">
        <f t="shared" si="62"/>
        <v>1.5950237</v>
      </c>
      <c r="O169" s="587">
        <f t="shared" si="62"/>
        <v>14.507818283999999</v>
      </c>
      <c r="P169" s="142">
        <f t="shared" si="62"/>
        <v>1.0847206000000003</v>
      </c>
      <c r="Q169" s="142">
        <f t="shared" si="62"/>
        <v>22.300072231000001</v>
      </c>
      <c r="R169" s="142">
        <f t="shared" si="62"/>
        <v>1.6510237000000001</v>
      </c>
      <c r="S169" s="142">
        <f t="shared" si="62"/>
        <v>10.961208284</v>
      </c>
      <c r="T169" s="142">
        <f t="shared" si="62"/>
        <v>1.1412206</v>
      </c>
      <c r="U169" s="142">
        <f t="shared" si="62"/>
        <v>33.794887254000002</v>
      </c>
      <c r="V169" s="142">
        <f t="shared" si="62"/>
        <v>1.5975233000000002</v>
      </c>
      <c r="W169" s="142">
        <f t="shared" si="62"/>
        <v>13.342820190999999</v>
      </c>
      <c r="X169" s="142">
        <f t="shared" si="62"/>
        <v>1.0656208000000003</v>
      </c>
      <c r="Y169" s="142">
        <f t="shared" si="62"/>
        <v>32.971177367000003</v>
      </c>
      <c r="Z169" s="602">
        <f t="shared" si="62"/>
        <v>1.0226207</v>
      </c>
      <c r="AA169" s="602">
        <f t="shared" si="62"/>
        <v>29.421805232999997</v>
      </c>
      <c r="AB169" s="142">
        <f t="shared" si="62"/>
        <v>1.6994233000000001</v>
      </c>
      <c r="AC169" s="142">
        <f t="shared" si="62"/>
        <v>11.730119129999999</v>
      </c>
      <c r="AD169" s="142">
        <f t="shared" si="62"/>
        <v>1.0719208000000002</v>
      </c>
      <c r="AE169" s="142">
        <f t="shared" si="62"/>
        <v>43.504673357000001</v>
      </c>
      <c r="AF169" s="142">
        <f t="shared" si="62"/>
        <v>1.0940206000000001</v>
      </c>
      <c r="AG169" s="142">
        <f t="shared" si="62"/>
        <v>17.533980267</v>
      </c>
      <c r="AH169" s="142">
        <f t="shared" si="62"/>
        <v>0.71602020000000011</v>
      </c>
      <c r="AI169" s="142">
        <f t="shared" si="62"/>
        <v>6.6566440569999994</v>
      </c>
    </row>
    <row r="170" spans="4:35" x14ac:dyDescent="0.25">
      <c r="F170" s="142">
        <f>F167-F169</f>
        <v>0</v>
      </c>
      <c r="G170" s="142">
        <f t="shared" ref="G170:AI170" si="63">G167-G169</f>
        <v>0</v>
      </c>
      <c r="H170" s="142">
        <f t="shared" si="63"/>
        <v>0</v>
      </c>
      <c r="I170" s="142">
        <f t="shared" si="63"/>
        <v>0</v>
      </c>
      <c r="J170" s="142">
        <f t="shared" si="63"/>
        <v>0</v>
      </c>
      <c r="K170" s="142">
        <f t="shared" si="63"/>
        <v>0</v>
      </c>
      <c r="L170" s="142">
        <f t="shared" si="63"/>
        <v>0</v>
      </c>
      <c r="M170" s="142">
        <f t="shared" si="63"/>
        <v>0</v>
      </c>
      <c r="N170" s="142">
        <f t="shared" si="63"/>
        <v>0</v>
      </c>
      <c r="O170" s="142">
        <f t="shared" si="63"/>
        <v>0</v>
      </c>
      <c r="P170" s="142">
        <f t="shared" si="63"/>
        <v>0</v>
      </c>
      <c r="Q170" s="142">
        <f t="shared" si="63"/>
        <v>0</v>
      </c>
      <c r="R170" s="142">
        <f t="shared" si="63"/>
        <v>0</v>
      </c>
      <c r="S170" s="142">
        <f t="shared" si="63"/>
        <v>0</v>
      </c>
      <c r="T170" s="142">
        <f t="shared" si="63"/>
        <v>0</v>
      </c>
      <c r="U170" s="142">
        <f t="shared" si="63"/>
        <v>0</v>
      </c>
      <c r="V170" s="142">
        <f t="shared" si="63"/>
        <v>0</v>
      </c>
      <c r="W170" s="142">
        <f t="shared" si="63"/>
        <v>0</v>
      </c>
      <c r="X170" s="142">
        <f t="shared" si="63"/>
        <v>0</v>
      </c>
      <c r="Y170" s="142">
        <f t="shared" si="63"/>
        <v>0</v>
      </c>
      <c r="Z170" s="602">
        <f t="shared" si="63"/>
        <v>0</v>
      </c>
      <c r="AA170" s="602">
        <f t="shared" si="63"/>
        <v>0</v>
      </c>
      <c r="AB170" s="142">
        <f t="shared" si="63"/>
        <v>0</v>
      </c>
      <c r="AC170" s="142">
        <f t="shared" si="63"/>
        <v>0</v>
      </c>
      <c r="AD170" s="142">
        <f t="shared" si="63"/>
        <v>0</v>
      </c>
      <c r="AE170" s="142">
        <f t="shared" si="63"/>
        <v>0</v>
      </c>
      <c r="AF170" s="142">
        <f t="shared" si="63"/>
        <v>0</v>
      </c>
      <c r="AG170" s="142">
        <f t="shared" si="63"/>
        <v>0</v>
      </c>
      <c r="AH170" s="142">
        <f t="shared" si="63"/>
        <v>0</v>
      </c>
      <c r="AI170" s="142">
        <f t="shared" si="63"/>
        <v>0</v>
      </c>
    </row>
  </sheetData>
  <mergeCells count="111">
    <mergeCell ref="D1:M1"/>
    <mergeCell ref="B46:B54"/>
    <mergeCell ref="B55:B63"/>
    <mergeCell ref="B64:B72"/>
    <mergeCell ref="B73:B74"/>
    <mergeCell ref="B5:B13"/>
    <mergeCell ref="B15:B24"/>
    <mergeCell ref="B25:B31"/>
    <mergeCell ref="B32:B38"/>
    <mergeCell ref="B39:B45"/>
    <mergeCell ref="F3:G3"/>
    <mergeCell ref="H3:I3"/>
    <mergeCell ref="J3:K3"/>
    <mergeCell ref="L3:M3"/>
    <mergeCell ref="B137:B142"/>
    <mergeCell ref="F135:G135"/>
    <mergeCell ref="H135:I135"/>
    <mergeCell ref="J135:K135"/>
    <mergeCell ref="D111:D112"/>
    <mergeCell ref="E111:E112"/>
    <mergeCell ref="J110:K110"/>
    <mergeCell ref="D129:E129"/>
    <mergeCell ref="B77:B78"/>
    <mergeCell ref="B79:B80"/>
    <mergeCell ref="B81:B82"/>
    <mergeCell ref="B86:B87"/>
    <mergeCell ref="B91:B98"/>
    <mergeCell ref="B99:B106"/>
    <mergeCell ref="B134:I134"/>
    <mergeCell ref="F110:G110"/>
    <mergeCell ref="H110:I110"/>
    <mergeCell ref="F111:G111"/>
    <mergeCell ref="H111:I111"/>
    <mergeCell ref="P3:Q3"/>
    <mergeCell ref="P135:Q135"/>
    <mergeCell ref="N110:O110"/>
    <mergeCell ref="L135:M135"/>
    <mergeCell ref="L111:M111"/>
    <mergeCell ref="P111:Q111"/>
    <mergeCell ref="N111:O111"/>
    <mergeCell ref="N3:O3"/>
    <mergeCell ref="B75:B76"/>
    <mergeCell ref="AH135:AI135"/>
    <mergeCell ref="AD110:AE110"/>
    <mergeCell ref="AD111:AE111"/>
    <mergeCell ref="AF111:AG111"/>
    <mergeCell ref="AH111:AI111"/>
    <mergeCell ref="AD135:AE135"/>
    <mergeCell ref="AF135:AG135"/>
    <mergeCell ref="R135:S135"/>
    <mergeCell ref="T3:U3"/>
    <mergeCell ref="T135:U135"/>
    <mergeCell ref="R110:S110"/>
    <mergeCell ref="AH3:AI3"/>
    <mergeCell ref="AD3:AE3"/>
    <mergeCell ref="AF3:AG3"/>
    <mergeCell ref="R3:S3"/>
    <mergeCell ref="AB135:AC135"/>
    <mergeCell ref="V3:W3"/>
    <mergeCell ref="V135:W135"/>
    <mergeCell ref="X3:Y3"/>
    <mergeCell ref="X135:Y135"/>
    <mergeCell ref="Z3:AA3"/>
    <mergeCell ref="Z135:AA135"/>
    <mergeCell ref="V110:W110"/>
    <mergeCell ref="X110:Y110"/>
    <mergeCell ref="AB110:AC110"/>
    <mergeCell ref="V111:W111"/>
    <mergeCell ref="X111:Y111"/>
    <mergeCell ref="T110:U110"/>
    <mergeCell ref="T111:U111"/>
    <mergeCell ref="R111:S111"/>
    <mergeCell ref="AB3:AC3"/>
    <mergeCell ref="Z111:AA111"/>
    <mergeCell ref="AB111:AC111"/>
    <mergeCell ref="L147:M147"/>
    <mergeCell ref="N147:O147"/>
    <mergeCell ref="P147:Q147"/>
    <mergeCell ref="R147:S147"/>
    <mergeCell ref="T147:U147"/>
    <mergeCell ref="V147:W147"/>
    <mergeCell ref="Z110:AA110"/>
    <mergeCell ref="P110:Q110"/>
    <mergeCell ref="L110:M110"/>
    <mergeCell ref="N135:O135"/>
    <mergeCell ref="X147:Y147"/>
    <mergeCell ref="Z147:AA147"/>
    <mergeCell ref="AB147:AC147"/>
    <mergeCell ref="J111:K111"/>
    <mergeCell ref="AF148:AG148"/>
    <mergeCell ref="AH148:AI148"/>
    <mergeCell ref="D167:E167"/>
    <mergeCell ref="AD147:AE147"/>
    <mergeCell ref="D148:D149"/>
    <mergeCell ref="E148:E149"/>
    <mergeCell ref="F148:G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AD148:AE148"/>
    <mergeCell ref="F147:G147"/>
    <mergeCell ref="H147:I147"/>
    <mergeCell ref="J147:K147"/>
  </mergeCells>
  <pageMargins left="0.31496062992125984" right="0.31496062992125984" top="0.74803149606299213" bottom="0.55118110236220474" header="0.31496062992125984" footer="0.31496062992125984"/>
  <pageSetup paperSize="9" scale="27" orientation="landscape" r:id="rId1"/>
  <headerFooter>
    <oddFooter>&amp;R&amp;P</oddFooter>
  </headerFooter>
  <rowBreaks count="1" manualBreakCount="1">
    <brk id="80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59"/>
  <sheetViews>
    <sheetView view="pageBreakPreview" topLeftCell="A46" zoomScaleNormal="100" zoomScaleSheetLayoutView="100" workbookViewId="0">
      <selection activeCell="R37" sqref="R37"/>
    </sheetView>
  </sheetViews>
  <sheetFormatPr defaultRowHeight="15" x14ac:dyDescent="0.25"/>
  <cols>
    <col min="1" max="1" width="6.5703125" style="485" customWidth="1"/>
    <col min="2" max="2" width="25.5703125" style="100" customWidth="1"/>
    <col min="3" max="3" width="12.5703125" style="100" customWidth="1"/>
    <col min="4" max="4" width="5.140625" style="100" customWidth="1"/>
    <col min="5" max="6" width="4.5703125" style="100" customWidth="1"/>
    <col min="7" max="7" width="4.42578125" style="100" customWidth="1"/>
    <col min="8" max="8" width="6" style="100" customWidth="1"/>
    <col min="9" max="9" width="4.140625" style="100" customWidth="1"/>
    <col min="10" max="10" width="4.5703125" style="100" customWidth="1"/>
    <col min="11" max="11" width="4.7109375" style="100" customWidth="1"/>
    <col min="12" max="12" width="5.140625" style="100" customWidth="1"/>
    <col min="13" max="13" width="19.5703125" style="100" customWidth="1"/>
    <col min="14" max="16" width="9.140625" style="100"/>
    <col min="17" max="17" width="10.5703125" style="620" customWidth="1"/>
    <col min="18" max="18" width="9.140625" style="620"/>
    <col min="19" max="19" width="11.5703125" style="620" bestFit="1" customWidth="1"/>
    <col min="20" max="20" width="9.140625" style="620"/>
    <col min="21" max="21" width="9.140625" style="100"/>
    <col min="22" max="22" width="11.5703125" style="100" bestFit="1" customWidth="1"/>
    <col min="23" max="23" width="61.7109375" style="100" customWidth="1"/>
    <col min="24" max="16384" width="9.140625" style="100"/>
  </cols>
  <sheetData>
    <row r="1" spans="1:20" ht="18.75" customHeight="1" x14ac:dyDescent="0.25">
      <c r="A1" s="735" t="s">
        <v>645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</row>
    <row r="2" spans="1:20" ht="9.75" customHeight="1" x14ac:dyDescent="0.25">
      <c r="A2" s="524"/>
    </row>
    <row r="3" spans="1:20" s="110" customFormat="1" ht="15.75" x14ac:dyDescent="0.25">
      <c r="A3" s="796" t="s">
        <v>318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Q3" s="620"/>
      <c r="R3" s="620"/>
      <c r="S3" s="620"/>
      <c r="T3" s="620"/>
    </row>
    <row r="4" spans="1:20" s="110" customFormat="1" ht="15.75" x14ac:dyDescent="0.25">
      <c r="A4" s="793" t="s">
        <v>319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Q4" s="620"/>
      <c r="R4" s="620"/>
      <c r="S4" s="620"/>
      <c r="T4" s="620"/>
    </row>
    <row r="5" spans="1:20" ht="5.25" customHeight="1" x14ac:dyDescent="0.25">
      <c r="A5" s="524"/>
    </row>
    <row r="6" spans="1:20" ht="36" customHeight="1" x14ac:dyDescent="0.25">
      <c r="A6" s="795" t="s">
        <v>332</v>
      </c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</row>
    <row r="7" spans="1:20" ht="19.5" customHeight="1" x14ac:dyDescent="0.25">
      <c r="A7" s="794" t="s">
        <v>320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</row>
    <row r="8" spans="1:20" ht="11.25" customHeight="1" x14ac:dyDescent="0.25">
      <c r="A8" s="793" t="s">
        <v>328</v>
      </c>
      <c r="B8" s="793"/>
      <c r="C8" s="793"/>
      <c r="D8" s="793"/>
      <c r="E8" s="793"/>
      <c r="F8" s="793"/>
      <c r="G8" s="793"/>
      <c r="H8" s="793"/>
      <c r="I8" s="793"/>
      <c r="J8" s="793"/>
      <c r="K8" s="793"/>
      <c r="L8" s="793"/>
      <c r="M8" s="793"/>
      <c r="N8" s="793"/>
      <c r="O8" s="793"/>
    </row>
    <row r="9" spans="1:20" ht="15.75" x14ac:dyDescent="0.25">
      <c r="A9" s="793" t="s">
        <v>329</v>
      </c>
      <c r="B9" s="793"/>
      <c r="C9" s="793"/>
      <c r="D9" s="793"/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</row>
    <row r="10" spans="1:20" ht="15.75" x14ac:dyDescent="0.25">
      <c r="A10" s="793" t="s">
        <v>321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</row>
    <row r="11" spans="1:20" ht="15.75" x14ac:dyDescent="0.25">
      <c r="A11" s="793" t="s">
        <v>322</v>
      </c>
      <c r="B11" s="793"/>
      <c r="C11" s="793"/>
      <c r="D11" s="793"/>
      <c r="E11" s="793"/>
      <c r="F11" s="793"/>
      <c r="G11" s="793"/>
      <c r="H11" s="793"/>
      <c r="I11" s="793"/>
      <c r="J11" s="793"/>
      <c r="K11" s="793"/>
      <c r="L11" s="793"/>
      <c r="M11" s="793"/>
      <c r="N11" s="793"/>
      <c r="O11" s="793"/>
    </row>
    <row r="12" spans="1:20" ht="15.75" x14ac:dyDescent="0.25">
      <c r="A12" s="793" t="s">
        <v>323</v>
      </c>
      <c r="B12" s="793"/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793"/>
    </row>
    <row r="13" spans="1:20" ht="15.75" x14ac:dyDescent="0.25">
      <c r="A13" s="793" t="s">
        <v>324</v>
      </c>
      <c r="B13" s="793"/>
      <c r="C13" s="793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93"/>
      <c r="O13" s="793"/>
    </row>
    <row r="14" spans="1:20" ht="15.75" x14ac:dyDescent="0.25">
      <c r="A14" s="793" t="s">
        <v>325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</row>
    <row r="15" spans="1:20" ht="15.75" x14ac:dyDescent="0.25">
      <c r="A15" s="793" t="s">
        <v>326</v>
      </c>
      <c r="B15" s="793"/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3"/>
      <c r="N15" s="793"/>
      <c r="O15" s="793"/>
    </row>
    <row r="16" spans="1:20" ht="6.75" customHeight="1" x14ac:dyDescent="0.25">
      <c r="A16" s="525"/>
    </row>
    <row r="17" spans="1:21" ht="38.25" customHeight="1" x14ac:dyDescent="0.25">
      <c r="A17" s="795" t="s">
        <v>331</v>
      </c>
      <c r="B17" s="795"/>
      <c r="C17" s="795"/>
      <c r="D17" s="795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795"/>
    </row>
    <row r="18" spans="1:21" ht="6.75" customHeight="1" x14ac:dyDescent="0.25">
      <c r="A18" s="525"/>
    </row>
    <row r="19" spans="1:21" ht="18.75" x14ac:dyDescent="0.25">
      <c r="A19" s="794" t="s">
        <v>327</v>
      </c>
      <c r="B19" s="794"/>
      <c r="C19" s="794"/>
      <c r="D19" s="794"/>
      <c r="E19" s="794"/>
      <c r="F19" s="794"/>
      <c r="G19" s="794"/>
      <c r="H19" s="794"/>
      <c r="I19" s="794"/>
      <c r="J19" s="794"/>
      <c r="K19" s="794"/>
      <c r="L19" s="794"/>
      <c r="M19" s="794"/>
      <c r="N19" s="794"/>
      <c r="O19" s="794"/>
    </row>
    <row r="20" spans="1:21" ht="6.75" customHeight="1" x14ac:dyDescent="0.25">
      <c r="A20" s="524"/>
    </row>
    <row r="21" spans="1:21" ht="18.75" x14ac:dyDescent="0.25">
      <c r="A21" s="795" t="s">
        <v>330</v>
      </c>
      <c r="B21" s="795"/>
      <c r="C21" s="795"/>
      <c r="D21" s="795"/>
      <c r="E21" s="795"/>
      <c r="F21" s="795"/>
      <c r="G21" s="795"/>
      <c r="H21" s="795"/>
      <c r="I21" s="795"/>
      <c r="J21" s="795"/>
      <c r="K21" s="795"/>
      <c r="L21" s="795"/>
      <c r="M21" s="795"/>
      <c r="N21" s="795"/>
      <c r="O21" s="795"/>
    </row>
    <row r="22" spans="1:21" ht="5.25" customHeight="1" x14ac:dyDescent="0.25"/>
    <row r="23" spans="1:21" ht="15.75" x14ac:dyDescent="0.25">
      <c r="A23" s="789" t="s">
        <v>646</v>
      </c>
      <c r="B23" s="789"/>
      <c r="C23" s="789"/>
      <c r="D23" s="789"/>
      <c r="E23" s="789"/>
      <c r="F23" s="789"/>
      <c r="G23" s="789"/>
      <c r="H23" s="789"/>
      <c r="I23" s="789"/>
      <c r="J23" s="789"/>
      <c r="K23" s="789"/>
      <c r="L23" s="789"/>
      <c r="M23" s="789"/>
      <c r="N23" s="789"/>
      <c r="O23" s="789"/>
      <c r="P23" s="789"/>
    </row>
    <row r="24" spans="1:21" ht="26.1" customHeight="1" x14ac:dyDescent="0.25">
      <c r="A24" s="76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 t="s">
        <v>14</v>
      </c>
      <c r="P24" s="1" t="s">
        <v>15</v>
      </c>
    </row>
    <row r="25" spans="1:21" ht="12.95" customHeight="1" x14ac:dyDescent="0.25">
      <c r="A25" s="76">
        <v>1</v>
      </c>
      <c r="B25" s="1">
        <v>2</v>
      </c>
      <c r="C25" s="1">
        <v>3</v>
      </c>
      <c r="D25" s="1">
        <v>4</v>
      </c>
      <c r="E25" s="1">
        <v>5</v>
      </c>
      <c r="F25" s="1">
        <v>6</v>
      </c>
      <c r="G25" s="1">
        <v>7</v>
      </c>
      <c r="H25" s="1">
        <v>8</v>
      </c>
      <c r="I25" s="1">
        <v>9</v>
      </c>
      <c r="J25" s="1">
        <v>10</v>
      </c>
      <c r="K25" s="1">
        <v>11</v>
      </c>
      <c r="L25" s="1">
        <v>12</v>
      </c>
      <c r="M25" s="1">
        <v>13</v>
      </c>
      <c r="N25" s="1">
        <v>14</v>
      </c>
      <c r="O25" s="1">
        <v>15</v>
      </c>
      <c r="P25" s="1">
        <v>16</v>
      </c>
    </row>
    <row r="26" spans="1:21" ht="12.95" customHeight="1" x14ac:dyDescent="0.25">
      <c r="A26" s="790" t="s">
        <v>296</v>
      </c>
      <c r="B26" s="791"/>
      <c r="C26" s="791"/>
      <c r="D26" s="791"/>
      <c r="E26" s="791"/>
      <c r="F26" s="791"/>
      <c r="G26" s="791"/>
      <c r="H26" s="791"/>
      <c r="I26" s="791"/>
      <c r="J26" s="791"/>
      <c r="K26" s="791"/>
      <c r="L26" s="791"/>
      <c r="M26" s="791"/>
      <c r="N26" s="791"/>
      <c r="O26" s="791"/>
      <c r="P26" s="792"/>
    </row>
    <row r="27" spans="1:21" ht="12.95" customHeight="1" x14ac:dyDescent="0.25">
      <c r="A27" s="767" t="s">
        <v>16</v>
      </c>
      <c r="B27" s="768"/>
      <c r="C27" s="768"/>
      <c r="D27" s="768"/>
      <c r="E27" s="768"/>
      <c r="F27" s="768"/>
      <c r="G27" s="768"/>
      <c r="H27" s="768"/>
      <c r="I27" s="768"/>
      <c r="J27" s="768"/>
      <c r="K27" s="768"/>
      <c r="L27" s="768"/>
      <c r="M27" s="768"/>
      <c r="N27" s="768"/>
      <c r="O27" s="768"/>
      <c r="P27" s="769"/>
      <c r="Q27" s="621" t="s">
        <v>20</v>
      </c>
      <c r="R27" s="621" t="s">
        <v>17</v>
      </c>
      <c r="S27" s="621"/>
      <c r="T27" s="622"/>
      <c r="U27" s="107"/>
    </row>
    <row r="28" spans="1:21" ht="12.95" customHeight="1" x14ac:dyDescent="0.25">
      <c r="A28" s="767" t="s">
        <v>33</v>
      </c>
      <c r="B28" s="768"/>
      <c r="C28" s="768"/>
      <c r="D28" s="768"/>
      <c r="E28" s="768"/>
      <c r="F28" s="768"/>
      <c r="G28" s="768"/>
      <c r="H28" s="768"/>
      <c r="I28" s="768"/>
      <c r="J28" s="768"/>
      <c r="K28" s="768"/>
      <c r="L28" s="768"/>
      <c r="M28" s="768"/>
      <c r="N28" s="768"/>
      <c r="O28" s="768"/>
      <c r="P28" s="769"/>
      <c r="Q28" s="622"/>
      <c r="R28" s="622"/>
      <c r="S28" s="622"/>
      <c r="T28" s="622"/>
      <c r="U28" s="107"/>
    </row>
    <row r="29" spans="1:21" ht="22.5" customHeight="1" x14ac:dyDescent="0.25">
      <c r="A29" s="770">
        <v>800101</v>
      </c>
      <c r="B29" s="772" t="s">
        <v>19</v>
      </c>
      <c r="C29" s="774" t="s">
        <v>18</v>
      </c>
      <c r="D29" s="312">
        <v>1.3</v>
      </c>
      <c r="E29" s="312">
        <v>1.6</v>
      </c>
      <c r="F29" s="312">
        <v>8.5</v>
      </c>
      <c r="G29" s="312">
        <v>7</v>
      </c>
      <c r="H29" s="312">
        <f>ROUND(((R29/Q29)/G29),0)</f>
        <v>28</v>
      </c>
      <c r="I29" s="312">
        <v>120</v>
      </c>
      <c r="J29" s="312">
        <v>1.4</v>
      </c>
      <c r="K29" s="312">
        <v>0.1</v>
      </c>
      <c r="L29" s="312">
        <v>1.1499999999999999</v>
      </c>
      <c r="M29" s="312" t="s">
        <v>520</v>
      </c>
      <c r="N29" s="312">
        <v>2908</v>
      </c>
      <c r="O29" s="312">
        <f>ROUND(((D29*E29*F29*J29*K29/(I29*L29))),4)</f>
        <v>1.7899999999999999E-2</v>
      </c>
      <c r="P29" s="312">
        <f>ROUND(((D29*3.6*E29*F29*G29*H29*J29*K29/(1000*I29*L29))),4)</f>
        <v>1.2699999999999999E-2</v>
      </c>
      <c r="Q29" s="621">
        <v>10</v>
      </c>
      <c r="R29" s="621">
        <f>4970*0.4</f>
        <v>1988</v>
      </c>
      <c r="S29" s="622"/>
      <c r="T29" s="622"/>
      <c r="U29" s="107"/>
    </row>
    <row r="30" spans="1:21" ht="27" customHeight="1" x14ac:dyDescent="0.25">
      <c r="A30" s="771"/>
      <c r="B30" s="773"/>
      <c r="C30" s="773"/>
      <c r="D30" s="312">
        <v>1.3</v>
      </c>
      <c r="E30" s="312">
        <v>1.6</v>
      </c>
      <c r="F30" s="312">
        <v>16.600000000000001</v>
      </c>
      <c r="G30" s="312">
        <v>7</v>
      </c>
      <c r="H30" s="312">
        <f>ROUND(((R30/Q30)/G30),0)</f>
        <v>43</v>
      </c>
      <c r="I30" s="312">
        <v>55</v>
      </c>
      <c r="J30" s="312">
        <v>1.4</v>
      </c>
      <c r="K30" s="312">
        <v>0.1</v>
      </c>
      <c r="L30" s="312">
        <v>1.1499999999999999</v>
      </c>
      <c r="M30" s="312" t="s">
        <v>520</v>
      </c>
      <c r="N30" s="312">
        <v>2908</v>
      </c>
      <c r="O30" s="312">
        <f>ROUND(((D30*E30*F30*J30*K30/(I30*L30))),4)</f>
        <v>7.6399999999999996E-2</v>
      </c>
      <c r="P30" s="312">
        <f>ROUND(((D30*3.6*E30*F30*G30*H30*J30*K30/(1000*I30*L30))),4)</f>
        <v>8.2799999999999999E-2</v>
      </c>
      <c r="Q30" s="621">
        <v>10</v>
      </c>
      <c r="R30" s="621">
        <f>4970*0.6</f>
        <v>2982</v>
      </c>
      <c r="S30" s="622"/>
      <c r="T30" s="622"/>
      <c r="U30" s="107"/>
    </row>
    <row r="31" spans="1:21" ht="26.1" customHeight="1" x14ac:dyDescent="0.25">
      <c r="A31" s="775" t="s">
        <v>483</v>
      </c>
      <c r="B31" s="776"/>
      <c r="C31" s="776"/>
      <c r="D31" s="776"/>
      <c r="E31" s="776"/>
      <c r="F31" s="776"/>
      <c r="G31" s="776"/>
      <c r="H31" s="776"/>
      <c r="I31" s="776"/>
      <c r="J31" s="776"/>
      <c r="K31" s="776"/>
      <c r="L31" s="777"/>
      <c r="M31" s="297" t="s">
        <v>481</v>
      </c>
      <c r="N31" s="297">
        <v>2908</v>
      </c>
      <c r="O31" s="297">
        <f>O29+O30</f>
        <v>9.4299999999999995E-2</v>
      </c>
      <c r="P31" s="297">
        <f>P29+P30</f>
        <v>9.5500000000000002E-2</v>
      </c>
      <c r="T31" s="620">
        <f>R29+R30</f>
        <v>4970</v>
      </c>
    </row>
    <row r="32" spans="1:21" ht="17.25" customHeight="1" x14ac:dyDescent="0.25">
      <c r="A32" s="767" t="s">
        <v>94</v>
      </c>
      <c r="B32" s="768"/>
      <c r="C32" s="768"/>
      <c r="D32" s="768"/>
      <c r="E32" s="768"/>
      <c r="F32" s="768"/>
      <c r="G32" s="768"/>
      <c r="H32" s="768"/>
      <c r="I32" s="768"/>
      <c r="J32" s="768"/>
      <c r="K32" s="768"/>
      <c r="L32" s="768"/>
      <c r="M32" s="768"/>
      <c r="N32" s="768"/>
      <c r="O32" s="768"/>
      <c r="P32" s="769"/>
      <c r="Q32" s="622"/>
      <c r="R32" s="622"/>
      <c r="S32" s="622"/>
      <c r="T32" s="622"/>
    </row>
    <row r="33" spans="1:27" ht="27" customHeight="1" x14ac:dyDescent="0.25">
      <c r="A33" s="770">
        <v>800401</v>
      </c>
      <c r="B33" s="772" t="s">
        <v>95</v>
      </c>
      <c r="C33" s="774" t="s">
        <v>18</v>
      </c>
      <c r="D33" s="312">
        <v>1.3</v>
      </c>
      <c r="E33" s="312">
        <v>1.6</v>
      </c>
      <c r="F33" s="312">
        <v>8.5</v>
      </c>
      <c r="G33" s="312">
        <v>7</v>
      </c>
      <c r="H33" s="312">
        <f>ROUND(((R33/Q33)/G33),0)</f>
        <v>95</v>
      </c>
      <c r="I33" s="312">
        <v>120</v>
      </c>
      <c r="J33" s="312">
        <v>1.4</v>
      </c>
      <c r="K33" s="312">
        <v>0.1</v>
      </c>
      <c r="L33" s="312">
        <v>1.1499999999999999</v>
      </c>
      <c r="M33" s="312" t="s">
        <v>520</v>
      </c>
      <c r="N33" s="312">
        <v>2908</v>
      </c>
      <c r="O33" s="312">
        <f>ROUND(((D33*E33*F33*J33*K33/(I33*L33))),4)</f>
        <v>1.7899999999999999E-2</v>
      </c>
      <c r="P33" s="312">
        <f>ROUND(((D33*3.6*E33*F33*G33*H33*J33*K33/(1000*I33*L33))),4)</f>
        <v>4.2900000000000001E-2</v>
      </c>
      <c r="Q33" s="620">
        <v>130</v>
      </c>
      <c r="R33" s="620">
        <f>216720*0.4</f>
        <v>86688</v>
      </c>
      <c r="S33" s="622"/>
      <c r="T33" s="621"/>
    </row>
    <row r="34" spans="1:27" ht="27" customHeight="1" x14ac:dyDescent="0.25">
      <c r="A34" s="771"/>
      <c r="B34" s="773"/>
      <c r="C34" s="773"/>
      <c r="D34" s="312">
        <v>1.3</v>
      </c>
      <c r="E34" s="312">
        <v>1.6</v>
      </c>
      <c r="F34" s="312">
        <v>16.600000000000001</v>
      </c>
      <c r="G34" s="312">
        <v>7</v>
      </c>
      <c r="H34" s="312">
        <f>ROUND(((R34/Q34)/G34),0)</f>
        <v>143</v>
      </c>
      <c r="I34" s="312">
        <v>55</v>
      </c>
      <c r="J34" s="312">
        <v>1.4</v>
      </c>
      <c r="K34" s="312">
        <v>0.1</v>
      </c>
      <c r="L34" s="312">
        <v>1.1499999999999999</v>
      </c>
      <c r="M34" s="312" t="s">
        <v>520</v>
      </c>
      <c r="N34" s="312">
        <v>2908</v>
      </c>
      <c r="O34" s="312">
        <f>ROUND(((D34*E34*F34*J34*K34/(I34*L34))),4)</f>
        <v>7.6399999999999996E-2</v>
      </c>
      <c r="P34" s="312">
        <f>ROUND(((D34*3.6*E34*F34*G34*H34*J34*K34/(1000*I34*L34))),4)</f>
        <v>0.27539999999999998</v>
      </c>
      <c r="Q34" s="620">
        <v>130</v>
      </c>
      <c r="R34" s="620">
        <f>216720*0.6</f>
        <v>130032</v>
      </c>
      <c r="S34" s="622"/>
      <c r="T34" s="621"/>
    </row>
    <row r="35" spans="1:27" s="107" customFormat="1" ht="27" customHeight="1" x14ac:dyDescent="0.25">
      <c r="A35" s="775" t="s">
        <v>486</v>
      </c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7"/>
      <c r="M35" s="297" t="s">
        <v>481</v>
      </c>
      <c r="N35" s="297">
        <v>2908</v>
      </c>
      <c r="O35" s="297">
        <f>O33+O34</f>
        <v>9.4299999999999995E-2</v>
      </c>
      <c r="P35" s="297">
        <f>P33+P34</f>
        <v>0.31829999999999997</v>
      </c>
      <c r="Q35" s="620"/>
      <c r="R35" s="620"/>
      <c r="S35" s="622"/>
      <c r="T35" s="620">
        <f>R33+R34</f>
        <v>216720</v>
      </c>
      <c r="V35" s="143"/>
      <c r="W35" s="144"/>
      <c r="X35" s="144"/>
      <c r="Y35" s="144"/>
      <c r="Z35" s="144"/>
      <c r="AA35" s="144"/>
    </row>
    <row r="36" spans="1:27" ht="18.75" customHeight="1" x14ac:dyDescent="0.25">
      <c r="A36" s="767" t="s">
        <v>133</v>
      </c>
      <c r="B36" s="768"/>
      <c r="C36" s="768"/>
      <c r="D36" s="768"/>
      <c r="E36" s="768"/>
      <c r="F36" s="768"/>
      <c r="G36" s="768"/>
      <c r="H36" s="768"/>
      <c r="I36" s="768"/>
      <c r="J36" s="768"/>
      <c r="K36" s="768"/>
      <c r="L36" s="768"/>
      <c r="M36" s="768"/>
      <c r="N36" s="768"/>
      <c r="O36" s="768"/>
      <c r="P36" s="769"/>
      <c r="Q36" s="622"/>
      <c r="R36" s="622"/>
      <c r="S36" s="622"/>
      <c r="T36" s="622"/>
      <c r="V36" s="108"/>
      <c r="W36" s="109"/>
      <c r="X36" s="109"/>
      <c r="Y36" s="109"/>
      <c r="Z36" s="100" t="s">
        <v>294</v>
      </c>
    </row>
    <row r="37" spans="1:27" ht="27" x14ac:dyDescent="0.25">
      <c r="A37" s="770" t="s">
        <v>531</v>
      </c>
      <c r="B37" s="772" t="s">
        <v>134</v>
      </c>
      <c r="C37" s="774" t="s">
        <v>18</v>
      </c>
      <c r="D37" s="312">
        <v>1.3</v>
      </c>
      <c r="E37" s="312">
        <v>1.6</v>
      </c>
      <c r="F37" s="312">
        <v>8.5</v>
      </c>
      <c r="G37" s="312">
        <v>7</v>
      </c>
      <c r="H37" s="312">
        <f>ROUND(((R37/Q37)/G37),0)</f>
        <v>32</v>
      </c>
      <c r="I37" s="312">
        <v>120</v>
      </c>
      <c r="J37" s="312">
        <v>1.4</v>
      </c>
      <c r="K37" s="312">
        <v>0.1</v>
      </c>
      <c r="L37" s="312">
        <v>1.1499999999999999</v>
      </c>
      <c r="M37" s="312" t="s">
        <v>520</v>
      </c>
      <c r="N37" s="312">
        <v>2908</v>
      </c>
      <c r="O37" s="312">
        <f>ROUND(((D37*E37*F37*J37*K37/(I37*L37))),4)</f>
        <v>1.7899999999999999E-2</v>
      </c>
      <c r="P37" s="312">
        <f>ROUND(((D37*3.6*E37*F37*G37*H37*J37*K37/(1000*I37*L37))),4)</f>
        <v>1.4500000000000001E-2</v>
      </c>
      <c r="Q37" s="621">
        <v>20</v>
      </c>
      <c r="R37" s="621">
        <f>11068*0.4</f>
        <v>4427.2</v>
      </c>
      <c r="S37" s="621"/>
      <c r="T37" s="621"/>
      <c r="V37" s="108"/>
    </row>
    <row r="38" spans="1:27" ht="27" x14ac:dyDescent="0.25">
      <c r="A38" s="771"/>
      <c r="B38" s="773"/>
      <c r="C38" s="773"/>
      <c r="D38" s="312">
        <v>1.3</v>
      </c>
      <c r="E38" s="312">
        <v>1.6</v>
      </c>
      <c r="F38" s="312">
        <v>16.600000000000001</v>
      </c>
      <c r="G38" s="312">
        <v>7</v>
      </c>
      <c r="H38" s="312">
        <f>ROUND(((R38/Q38)/G38),0)</f>
        <v>47</v>
      </c>
      <c r="I38" s="312">
        <v>55</v>
      </c>
      <c r="J38" s="312">
        <v>1.4</v>
      </c>
      <c r="K38" s="312">
        <v>0.1</v>
      </c>
      <c r="L38" s="312">
        <v>1.1499999999999999</v>
      </c>
      <c r="M38" s="312" t="s">
        <v>520</v>
      </c>
      <c r="N38" s="312">
        <v>2908</v>
      </c>
      <c r="O38" s="312">
        <f>ROUND(((D38*E38*F38*J38*K38/(I38*L38))),4)</f>
        <v>7.6399999999999996E-2</v>
      </c>
      <c r="P38" s="312">
        <f>ROUND(((D38*3.6*E38*F38*G38*H38*J38*K38/(1000*I38*L38))),4)</f>
        <v>9.0499999999999997E-2</v>
      </c>
      <c r="Q38" s="621">
        <v>20</v>
      </c>
      <c r="R38" s="621">
        <f>11068*0.6</f>
        <v>6640.8</v>
      </c>
      <c r="S38" s="621"/>
      <c r="T38" s="621"/>
      <c r="V38" s="108"/>
    </row>
    <row r="39" spans="1:27" ht="27" x14ac:dyDescent="0.25">
      <c r="A39" s="775" t="s">
        <v>532</v>
      </c>
      <c r="B39" s="776"/>
      <c r="C39" s="776"/>
      <c r="D39" s="776"/>
      <c r="E39" s="776"/>
      <c r="F39" s="776"/>
      <c r="G39" s="776"/>
      <c r="H39" s="776"/>
      <c r="I39" s="776"/>
      <c r="J39" s="776"/>
      <c r="K39" s="776"/>
      <c r="L39" s="777"/>
      <c r="M39" s="297" t="s">
        <v>481</v>
      </c>
      <c r="N39" s="297">
        <v>2908</v>
      </c>
      <c r="O39" s="297">
        <f>O37+O38</f>
        <v>9.4299999999999995E-2</v>
      </c>
      <c r="P39" s="297">
        <f>P37+P38</f>
        <v>0.105</v>
      </c>
      <c r="Q39" s="623">
        <f>O31+O35+O39</f>
        <v>0.28289999999999998</v>
      </c>
      <c r="R39" s="623">
        <f>P31+P35+P39</f>
        <v>0.51879999999999993</v>
      </c>
      <c r="S39" s="621"/>
      <c r="T39" s="621">
        <f>R37+R38</f>
        <v>11068</v>
      </c>
      <c r="V39" s="108"/>
      <c r="W39" s="100">
        <f>Q39+'2.2 погрузка экскаватора'!Q42+'2.3 земляные работы'!S57</f>
        <v>2.1596999999999995</v>
      </c>
    </row>
    <row r="40" spans="1:27" x14ac:dyDescent="0.25">
      <c r="A40" s="767" t="s">
        <v>103</v>
      </c>
      <c r="B40" s="768"/>
      <c r="C40" s="768"/>
      <c r="D40" s="768"/>
      <c r="E40" s="768"/>
      <c r="F40" s="768"/>
      <c r="G40" s="768"/>
      <c r="H40" s="768"/>
      <c r="I40" s="768"/>
      <c r="J40" s="768"/>
      <c r="K40" s="768"/>
      <c r="L40" s="768"/>
      <c r="M40" s="768"/>
      <c r="N40" s="768"/>
      <c r="O40" s="768"/>
      <c r="P40" s="769"/>
    </row>
    <row r="41" spans="1:27" x14ac:dyDescent="0.25">
      <c r="A41" s="767" t="s">
        <v>104</v>
      </c>
      <c r="B41" s="768"/>
      <c r="C41" s="768"/>
      <c r="D41" s="768"/>
      <c r="E41" s="768"/>
      <c r="F41" s="768"/>
      <c r="G41" s="768"/>
      <c r="H41" s="768"/>
      <c r="I41" s="768"/>
      <c r="J41" s="768"/>
      <c r="K41" s="768"/>
      <c r="L41" s="768"/>
      <c r="M41" s="768"/>
      <c r="N41" s="768"/>
      <c r="O41" s="768"/>
      <c r="P41" s="769"/>
      <c r="Q41" s="622"/>
      <c r="R41" s="622"/>
      <c r="S41" s="622"/>
      <c r="T41" s="622"/>
      <c r="U41" s="100">
        <f>T31+T35+T39</f>
        <v>232758</v>
      </c>
    </row>
    <row r="42" spans="1:27" ht="27" x14ac:dyDescent="0.25">
      <c r="A42" s="770">
        <v>800401</v>
      </c>
      <c r="B42" s="772" t="s">
        <v>95</v>
      </c>
      <c r="C42" s="774" t="s">
        <v>18</v>
      </c>
      <c r="D42" s="312">
        <v>1.3</v>
      </c>
      <c r="E42" s="312">
        <v>1.6</v>
      </c>
      <c r="F42" s="312">
        <v>8.5</v>
      </c>
      <c r="G42" s="312">
        <v>7</v>
      </c>
      <c r="H42" s="312">
        <f>ROUND(((R42/Q42)/G42),0)</f>
        <v>91</v>
      </c>
      <c r="I42" s="312">
        <v>120</v>
      </c>
      <c r="J42" s="312">
        <v>1.4</v>
      </c>
      <c r="K42" s="312">
        <v>0.1</v>
      </c>
      <c r="L42" s="312">
        <v>1.1499999999999999</v>
      </c>
      <c r="M42" s="312" t="s">
        <v>520</v>
      </c>
      <c r="N42" s="312">
        <v>2908</v>
      </c>
      <c r="O42" s="312">
        <f>ROUND(((D42*E42*F42*J42*K42/(I42*L42))),4)</f>
        <v>1.7899999999999999E-2</v>
      </c>
      <c r="P42" s="312">
        <f>ROUND(((D42*3.6*E42*F42*G42*H42*J42*K42/(1000*I42*L42))),4)</f>
        <v>4.1099999999999998E-2</v>
      </c>
      <c r="Q42" s="621">
        <v>20</v>
      </c>
      <c r="R42" s="621">
        <f>31695*0.4</f>
        <v>12678</v>
      </c>
      <c r="S42" s="621"/>
      <c r="T42" s="621"/>
    </row>
    <row r="43" spans="1:27" ht="27" x14ac:dyDescent="0.25">
      <c r="A43" s="771"/>
      <c r="B43" s="773"/>
      <c r="C43" s="773"/>
      <c r="D43" s="312">
        <v>1.3</v>
      </c>
      <c r="E43" s="312">
        <v>1.6</v>
      </c>
      <c r="F43" s="312">
        <v>16.600000000000001</v>
      </c>
      <c r="G43" s="312">
        <v>7</v>
      </c>
      <c r="H43" s="312">
        <f>ROUND(((R43/Q43)/G43),0)</f>
        <v>136</v>
      </c>
      <c r="I43" s="312">
        <v>55</v>
      </c>
      <c r="J43" s="312">
        <v>1.4</v>
      </c>
      <c r="K43" s="312">
        <v>0.1</v>
      </c>
      <c r="L43" s="312">
        <v>1.1499999999999999</v>
      </c>
      <c r="M43" s="312" t="s">
        <v>520</v>
      </c>
      <c r="N43" s="312">
        <v>2908</v>
      </c>
      <c r="O43" s="312">
        <f>ROUND(((D43*E43*F43*J43*K43/(I43*L43))),4)</f>
        <v>7.6399999999999996E-2</v>
      </c>
      <c r="P43" s="312">
        <f>ROUND(((D43*3.6*E43*F43*G43*H43*J43*K43/(1000*I43*L43))),4)</f>
        <v>0.26190000000000002</v>
      </c>
      <c r="Q43" s="621">
        <v>20</v>
      </c>
      <c r="R43" s="621">
        <f>31695*0.6</f>
        <v>19017</v>
      </c>
      <c r="S43" s="621"/>
      <c r="T43" s="621"/>
    </row>
    <row r="44" spans="1:27" ht="27" x14ac:dyDescent="0.25">
      <c r="A44" s="775" t="s">
        <v>486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7"/>
      <c r="M44" s="297" t="s">
        <v>481</v>
      </c>
      <c r="N44" s="297">
        <v>2908</v>
      </c>
      <c r="O44" s="297">
        <f>O42+O43</f>
        <v>9.4299999999999995E-2</v>
      </c>
      <c r="P44" s="297">
        <f>P42+P43</f>
        <v>0.30300000000000005</v>
      </c>
      <c r="Q44" s="623">
        <f>O44</f>
        <v>9.4299999999999995E-2</v>
      </c>
      <c r="R44" s="623">
        <f>P44</f>
        <v>0.30300000000000005</v>
      </c>
      <c r="S44" s="621"/>
      <c r="T44" s="621">
        <f>R42+R43</f>
        <v>31695</v>
      </c>
      <c r="V44" s="108"/>
    </row>
    <row r="45" spans="1:27" x14ac:dyDescent="0.25">
      <c r="A45" s="781" t="s">
        <v>109</v>
      </c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N45" s="782"/>
      <c r="O45" s="782"/>
      <c r="P45" s="783"/>
    </row>
    <row r="46" spans="1:27" x14ac:dyDescent="0.25">
      <c r="A46" s="781" t="s">
        <v>110</v>
      </c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782"/>
      <c r="O46" s="782"/>
      <c r="P46" s="783"/>
      <c r="Q46" s="622"/>
      <c r="R46" s="622"/>
      <c r="S46" s="622"/>
      <c r="T46" s="622"/>
    </row>
    <row r="47" spans="1:27" ht="24.95" customHeight="1" x14ac:dyDescent="0.25">
      <c r="A47" s="784">
        <v>800401</v>
      </c>
      <c r="B47" s="786" t="s">
        <v>95</v>
      </c>
      <c r="C47" s="788" t="s">
        <v>18</v>
      </c>
      <c r="D47" s="330">
        <v>1.3</v>
      </c>
      <c r="E47" s="330">
        <v>1.6</v>
      </c>
      <c r="F47" s="330">
        <v>8.5</v>
      </c>
      <c r="G47" s="330">
        <v>7</v>
      </c>
      <c r="H47" s="330">
        <f>ROUND(((R47/Q47)/G47),0)</f>
        <v>78</v>
      </c>
      <c r="I47" s="330">
        <v>120</v>
      </c>
      <c r="J47" s="330">
        <v>1.4</v>
      </c>
      <c r="K47" s="330">
        <v>0.1</v>
      </c>
      <c r="L47" s="330">
        <v>1.1499999999999999</v>
      </c>
      <c r="M47" s="330" t="s">
        <v>529</v>
      </c>
      <c r="N47" s="330">
        <v>2908</v>
      </c>
      <c r="O47" s="330">
        <f>ROUND(((D47*E47*F47*J47*K47/(I47*L47))),4)</f>
        <v>1.7899999999999999E-2</v>
      </c>
      <c r="P47" s="330">
        <f>ROUND(((D47*3.6*E47*F47*G47*H47*J47*K47/(1000*I47*L47))),4)</f>
        <v>3.5299999999999998E-2</v>
      </c>
      <c r="Q47" s="621">
        <v>20</v>
      </c>
      <c r="R47" s="621">
        <f>27285*0.4</f>
        <v>10914</v>
      </c>
      <c r="S47" s="621"/>
      <c r="T47" s="621"/>
    </row>
    <row r="48" spans="1:27" ht="24.95" customHeight="1" x14ac:dyDescent="0.25">
      <c r="A48" s="785"/>
      <c r="B48" s="787"/>
      <c r="C48" s="787"/>
      <c r="D48" s="330">
        <v>1.3</v>
      </c>
      <c r="E48" s="330">
        <v>1.6</v>
      </c>
      <c r="F48" s="330">
        <v>16.600000000000001</v>
      </c>
      <c r="G48" s="330">
        <v>7</v>
      </c>
      <c r="H48" s="330">
        <f>ROUND(((R48/Q48)/G48),0)</f>
        <v>117</v>
      </c>
      <c r="I48" s="330">
        <v>55</v>
      </c>
      <c r="J48" s="330">
        <v>1.4</v>
      </c>
      <c r="K48" s="330">
        <v>0.1</v>
      </c>
      <c r="L48" s="330">
        <v>1.1499999999999999</v>
      </c>
      <c r="M48" s="330" t="s">
        <v>529</v>
      </c>
      <c r="N48" s="330">
        <v>2908</v>
      </c>
      <c r="O48" s="330">
        <f>ROUND(((D48*E48*F48*J48*K48/(I48*L48))),4)</f>
        <v>7.6399999999999996E-2</v>
      </c>
      <c r="P48" s="330">
        <f>ROUND(((D48*3.6*E48*F48*G48*H48*J48*K48/(1000*I48*L48))),4)</f>
        <v>0.2253</v>
      </c>
      <c r="Q48" s="621">
        <v>20</v>
      </c>
      <c r="R48" s="621">
        <f>27285*0.6</f>
        <v>16371</v>
      </c>
      <c r="S48" s="621"/>
      <c r="T48" s="621"/>
    </row>
    <row r="49" spans="1:22" ht="24.95" customHeight="1" x14ac:dyDescent="0.25">
      <c r="A49" s="778" t="s">
        <v>486</v>
      </c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80"/>
      <c r="M49" s="331" t="s">
        <v>530</v>
      </c>
      <c r="N49" s="331">
        <v>2908</v>
      </c>
      <c r="O49" s="331">
        <f>O47+O48</f>
        <v>9.4299999999999995E-2</v>
      </c>
      <c r="P49" s="331">
        <f>P47+P48</f>
        <v>0.2606</v>
      </c>
      <c r="Q49" s="623">
        <f>O49</f>
        <v>9.4299999999999995E-2</v>
      </c>
      <c r="R49" s="623">
        <f>P49</f>
        <v>0.2606</v>
      </c>
      <c r="S49" s="621"/>
      <c r="T49" s="621">
        <f>R47+R48</f>
        <v>27285</v>
      </c>
      <c r="V49" s="108"/>
    </row>
    <row r="50" spans="1:22" ht="12.95" customHeight="1" x14ac:dyDescent="0.25">
      <c r="A50" s="767" t="s">
        <v>112</v>
      </c>
      <c r="B50" s="768"/>
      <c r="C50" s="768"/>
      <c r="D50" s="768"/>
      <c r="E50" s="768"/>
      <c r="F50" s="768"/>
      <c r="G50" s="768"/>
      <c r="H50" s="768"/>
      <c r="I50" s="768"/>
      <c r="J50" s="768"/>
      <c r="K50" s="768"/>
      <c r="L50" s="768"/>
      <c r="M50" s="768"/>
      <c r="N50" s="768"/>
      <c r="O50" s="768"/>
      <c r="P50" s="769"/>
    </row>
    <row r="51" spans="1:22" ht="12.95" customHeight="1" x14ac:dyDescent="0.25">
      <c r="A51" s="767" t="s">
        <v>113</v>
      </c>
      <c r="B51" s="768"/>
      <c r="C51" s="768"/>
      <c r="D51" s="768"/>
      <c r="E51" s="768"/>
      <c r="F51" s="768"/>
      <c r="G51" s="768"/>
      <c r="H51" s="768"/>
      <c r="I51" s="768"/>
      <c r="J51" s="768"/>
      <c r="K51" s="768"/>
      <c r="L51" s="768"/>
      <c r="M51" s="768"/>
      <c r="N51" s="768"/>
      <c r="O51" s="768"/>
      <c r="P51" s="769"/>
    </row>
    <row r="52" spans="1:22" ht="24.95" customHeight="1" x14ac:dyDescent="0.25">
      <c r="A52" s="770">
        <v>800401</v>
      </c>
      <c r="B52" s="772" t="s">
        <v>95</v>
      </c>
      <c r="C52" s="774" t="s">
        <v>18</v>
      </c>
      <c r="D52" s="312">
        <v>1.3</v>
      </c>
      <c r="E52" s="312">
        <v>1.6</v>
      </c>
      <c r="F52" s="312">
        <v>8.5</v>
      </c>
      <c r="G52" s="312">
        <v>7</v>
      </c>
      <c r="H52" s="312">
        <f>ROUND(((R52/Q52)/G52),0)</f>
        <v>82</v>
      </c>
      <c r="I52" s="312">
        <v>120</v>
      </c>
      <c r="J52" s="312">
        <v>1.4</v>
      </c>
      <c r="K52" s="312">
        <v>0.1</v>
      </c>
      <c r="L52" s="312">
        <v>1.1499999999999999</v>
      </c>
      <c r="M52" s="312" t="s">
        <v>520</v>
      </c>
      <c r="N52" s="312">
        <v>2908</v>
      </c>
      <c r="O52" s="312">
        <f>ROUND(((D52*E52*F52*J52*K52/(I52*L52))),4)</f>
        <v>1.7899999999999999E-2</v>
      </c>
      <c r="P52" s="312">
        <f>ROUND(((D52*3.6*E52*F52*G52*H52*J52*K52/(1000*I52*L52))),4)</f>
        <v>3.7100000000000001E-2</v>
      </c>
      <c r="Q52" s="621">
        <v>20</v>
      </c>
      <c r="R52" s="621">
        <f>28650*0.4</f>
        <v>11460</v>
      </c>
      <c r="S52" s="621"/>
      <c r="T52" s="621"/>
    </row>
    <row r="53" spans="1:22" ht="24.95" customHeight="1" x14ac:dyDescent="0.25">
      <c r="A53" s="771"/>
      <c r="B53" s="773"/>
      <c r="C53" s="773"/>
      <c r="D53" s="312">
        <v>1.3</v>
      </c>
      <c r="E53" s="312">
        <v>1.6</v>
      </c>
      <c r="F53" s="312">
        <v>16.600000000000001</v>
      </c>
      <c r="G53" s="312">
        <v>7</v>
      </c>
      <c r="H53" s="312">
        <f>ROUND(((R53/Q53)/G53),0)</f>
        <v>123</v>
      </c>
      <c r="I53" s="312">
        <v>55</v>
      </c>
      <c r="J53" s="312">
        <v>1.4</v>
      </c>
      <c r="K53" s="312">
        <v>0.1</v>
      </c>
      <c r="L53" s="312">
        <v>1.1499999999999999</v>
      </c>
      <c r="M53" s="312" t="s">
        <v>520</v>
      </c>
      <c r="N53" s="312">
        <v>2908</v>
      </c>
      <c r="O53" s="312">
        <f>ROUND(((D53*E53*F53*J53*K53/(I53*L53))),4)</f>
        <v>7.6399999999999996E-2</v>
      </c>
      <c r="P53" s="312">
        <f>ROUND(((D53*3.6*E53*F53*G53*H53*J53*K53/(1000*I53*L53))),4)</f>
        <v>0.2369</v>
      </c>
      <c r="Q53" s="621">
        <v>20</v>
      </c>
      <c r="R53" s="621">
        <f>28650*0.6</f>
        <v>17190</v>
      </c>
      <c r="S53" s="621"/>
      <c r="T53" s="621"/>
    </row>
    <row r="54" spans="1:22" ht="24.95" customHeight="1" x14ac:dyDescent="0.25">
      <c r="A54" s="775" t="s">
        <v>486</v>
      </c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7"/>
      <c r="M54" s="297" t="s">
        <v>481</v>
      </c>
      <c r="N54" s="297">
        <v>2908</v>
      </c>
      <c r="O54" s="297">
        <f>O52+O53</f>
        <v>9.4299999999999995E-2</v>
      </c>
      <c r="P54" s="297">
        <f>P52+P53</f>
        <v>0.27400000000000002</v>
      </c>
      <c r="Q54" s="623">
        <f>O54</f>
        <v>9.4299999999999995E-2</v>
      </c>
      <c r="R54" s="623">
        <f>P54</f>
        <v>0.27400000000000002</v>
      </c>
      <c r="S54" s="621"/>
      <c r="T54" s="621">
        <f>R52+R53</f>
        <v>28650</v>
      </c>
      <c r="V54" s="108"/>
    </row>
    <row r="55" spans="1:22" x14ac:dyDescent="0.25">
      <c r="A55" s="781" t="s">
        <v>119</v>
      </c>
      <c r="B55" s="782"/>
      <c r="C55" s="782"/>
      <c r="D55" s="782"/>
      <c r="E55" s="782"/>
      <c r="F55" s="782"/>
      <c r="G55" s="782"/>
      <c r="H55" s="782"/>
      <c r="I55" s="782"/>
      <c r="J55" s="782"/>
      <c r="K55" s="782"/>
      <c r="L55" s="782"/>
      <c r="M55" s="782"/>
      <c r="N55" s="782"/>
      <c r="O55" s="782"/>
      <c r="P55" s="783"/>
    </row>
    <row r="56" spans="1:22" x14ac:dyDescent="0.25">
      <c r="A56" s="781" t="s">
        <v>120</v>
      </c>
      <c r="B56" s="782"/>
      <c r="C56" s="782"/>
      <c r="D56" s="782"/>
      <c r="E56" s="782"/>
      <c r="F56" s="782"/>
      <c r="G56" s="782"/>
      <c r="H56" s="782"/>
      <c r="I56" s="782"/>
      <c r="J56" s="782"/>
      <c r="K56" s="782"/>
      <c r="L56" s="782"/>
      <c r="M56" s="782"/>
      <c r="N56" s="782"/>
      <c r="O56" s="782"/>
      <c r="P56" s="783"/>
    </row>
    <row r="57" spans="1:22" ht="27" x14ac:dyDescent="0.25">
      <c r="A57" s="784">
        <v>800401</v>
      </c>
      <c r="B57" s="786" t="s">
        <v>95</v>
      </c>
      <c r="C57" s="788" t="s">
        <v>18</v>
      </c>
      <c r="D57" s="330">
        <v>1.3</v>
      </c>
      <c r="E57" s="330">
        <v>1.6</v>
      </c>
      <c r="F57" s="330">
        <v>8.5</v>
      </c>
      <c r="G57" s="330">
        <v>7</v>
      </c>
      <c r="H57" s="330">
        <f>ROUND(((R57/Q57)/G57),0)</f>
        <v>105</v>
      </c>
      <c r="I57" s="330">
        <v>120</v>
      </c>
      <c r="J57" s="330">
        <v>1.4</v>
      </c>
      <c r="K57" s="330">
        <v>0.1</v>
      </c>
      <c r="L57" s="330">
        <v>1.1499999999999999</v>
      </c>
      <c r="M57" s="330" t="s">
        <v>529</v>
      </c>
      <c r="N57" s="330">
        <v>2908</v>
      </c>
      <c r="O57" s="330">
        <f>ROUND(((D57*E57*F57*J57*K57/(I57*L57))),4)</f>
        <v>1.7899999999999999E-2</v>
      </c>
      <c r="P57" s="330">
        <f>ROUND(((D57*3.6*E57*F57*G57*H57*J57*K57/(1000*I57*L57))),4)</f>
        <v>4.7500000000000001E-2</v>
      </c>
      <c r="Q57" s="621">
        <v>20</v>
      </c>
      <c r="R57" s="621">
        <f>36870*0.4</f>
        <v>14748</v>
      </c>
      <c r="S57" s="621"/>
      <c r="T57" s="621"/>
    </row>
    <row r="58" spans="1:22" ht="27" x14ac:dyDescent="0.25">
      <c r="A58" s="785"/>
      <c r="B58" s="787"/>
      <c r="C58" s="787"/>
      <c r="D58" s="330">
        <v>1.3</v>
      </c>
      <c r="E58" s="330">
        <v>1.6</v>
      </c>
      <c r="F58" s="330">
        <v>16.600000000000001</v>
      </c>
      <c r="G58" s="330">
        <v>7</v>
      </c>
      <c r="H58" s="330">
        <f>ROUND(((R58/Q58)/G58),0)</f>
        <v>158</v>
      </c>
      <c r="I58" s="330">
        <v>55</v>
      </c>
      <c r="J58" s="330">
        <v>1.4</v>
      </c>
      <c r="K58" s="330">
        <v>0.1</v>
      </c>
      <c r="L58" s="330">
        <v>1.1499999999999999</v>
      </c>
      <c r="M58" s="330" t="s">
        <v>529</v>
      </c>
      <c r="N58" s="330">
        <v>2908</v>
      </c>
      <c r="O58" s="330">
        <f>ROUND(((D58*E58*F58*J58*K58/(I58*L58))),4)</f>
        <v>7.6399999999999996E-2</v>
      </c>
      <c r="P58" s="330">
        <f>ROUND(((D58*3.6*E58*F58*G58*H58*J58*K58/(1000*I58*L58))),4)</f>
        <v>0.30430000000000001</v>
      </c>
      <c r="Q58" s="621">
        <v>20</v>
      </c>
      <c r="R58" s="621">
        <f>36870*0.6</f>
        <v>22122</v>
      </c>
      <c r="S58" s="621"/>
      <c r="T58" s="621"/>
    </row>
    <row r="59" spans="1:22" ht="27" x14ac:dyDescent="0.25">
      <c r="A59" s="778" t="s">
        <v>486</v>
      </c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80"/>
      <c r="M59" s="331" t="s">
        <v>530</v>
      </c>
      <c r="N59" s="331">
        <v>2908</v>
      </c>
      <c r="O59" s="331">
        <f>O57+O58</f>
        <v>9.4299999999999995E-2</v>
      </c>
      <c r="P59" s="331">
        <f>P57+P58</f>
        <v>0.3518</v>
      </c>
      <c r="Q59" s="623">
        <f>O59</f>
        <v>9.4299999999999995E-2</v>
      </c>
      <c r="R59" s="623">
        <f>P59</f>
        <v>0.3518</v>
      </c>
      <c r="S59" s="621"/>
      <c r="T59" s="621">
        <f>R57+R58</f>
        <v>36870</v>
      </c>
    </row>
  </sheetData>
  <mergeCells count="58">
    <mergeCell ref="A1:O1"/>
    <mergeCell ref="A3:O3"/>
    <mergeCell ref="A4:O4"/>
    <mergeCell ref="A7:O7"/>
    <mergeCell ref="A8:O8"/>
    <mergeCell ref="A6:P6"/>
    <mergeCell ref="A9:O9"/>
    <mergeCell ref="A10:O10"/>
    <mergeCell ref="A11:O11"/>
    <mergeCell ref="A12:O12"/>
    <mergeCell ref="A13:O13"/>
    <mergeCell ref="A14:O14"/>
    <mergeCell ref="A15:O15"/>
    <mergeCell ref="A19:O19"/>
    <mergeCell ref="A21:O21"/>
    <mergeCell ref="A17:P17"/>
    <mergeCell ref="A59:L59"/>
    <mergeCell ref="A54:L54"/>
    <mergeCell ref="A55:P55"/>
    <mergeCell ref="A56:P56"/>
    <mergeCell ref="A57:A58"/>
    <mergeCell ref="B57:B58"/>
    <mergeCell ref="C57:C58"/>
    <mergeCell ref="A50:P50"/>
    <mergeCell ref="A51:P51"/>
    <mergeCell ref="A52:A53"/>
    <mergeCell ref="B52:B53"/>
    <mergeCell ref="C52:C53"/>
    <mergeCell ref="A32:P32"/>
    <mergeCell ref="A33:A34"/>
    <mergeCell ref="B33:B34"/>
    <mergeCell ref="C33:C34"/>
    <mergeCell ref="A35:L35"/>
    <mergeCell ref="A23:P23"/>
    <mergeCell ref="A28:P28"/>
    <mergeCell ref="A29:A30"/>
    <mergeCell ref="A31:L31"/>
    <mergeCell ref="A27:P27"/>
    <mergeCell ref="B29:B30"/>
    <mergeCell ref="C29:C30"/>
    <mergeCell ref="A26:P26"/>
    <mergeCell ref="A40:P40"/>
    <mergeCell ref="A41:P41"/>
    <mergeCell ref="A42:A43"/>
    <mergeCell ref="B42:B43"/>
    <mergeCell ref="C42:C43"/>
    <mergeCell ref="A49:L49"/>
    <mergeCell ref="A44:L44"/>
    <mergeCell ref="A45:P45"/>
    <mergeCell ref="A46:P46"/>
    <mergeCell ref="A47:A48"/>
    <mergeCell ref="B47:B48"/>
    <mergeCell ref="C47:C48"/>
    <mergeCell ref="A36:P36"/>
    <mergeCell ref="A37:A38"/>
    <mergeCell ref="B37:B38"/>
    <mergeCell ref="C37:C38"/>
    <mergeCell ref="A39:L39"/>
  </mergeCells>
  <pageMargins left="0.31496062992125984" right="0.31496062992125984" top="0.78740157480314965" bottom="0.39370078740157483" header="0.31496062992125984" footer="0.19685039370078741"/>
  <pageSetup paperSize="9" firstPageNumber="147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T70"/>
  <sheetViews>
    <sheetView view="pageBreakPreview" topLeftCell="A64" zoomScale="115" zoomScaleNormal="100" zoomScaleSheetLayoutView="115" workbookViewId="0">
      <selection activeCell="A11" sqref="A11:O11"/>
    </sheetView>
  </sheetViews>
  <sheetFormatPr defaultRowHeight="15" x14ac:dyDescent="0.25"/>
  <cols>
    <col min="1" max="1" width="6.7109375" style="628" customWidth="1"/>
    <col min="2" max="2" width="28.140625" style="632" customWidth="1"/>
    <col min="3" max="3" width="12.5703125" style="632" customWidth="1"/>
    <col min="4" max="4" width="5.140625" style="86" customWidth="1"/>
    <col min="5" max="6" width="4.5703125" style="86" customWidth="1"/>
    <col min="7" max="7" width="4.42578125" style="86" customWidth="1"/>
    <col min="8" max="9" width="4.140625" style="86" customWidth="1"/>
    <col min="10" max="10" width="4.5703125" style="86" customWidth="1"/>
    <col min="11" max="11" width="5.140625" style="86" customWidth="1"/>
    <col min="12" max="12" width="4" style="86" customWidth="1"/>
    <col min="13" max="13" width="17.85546875" style="86" customWidth="1"/>
    <col min="14" max="14" width="9.140625" style="86"/>
    <col min="15" max="16" width="11" style="86" bestFit="1" customWidth="1"/>
    <col min="17" max="18" width="9.140625" style="91"/>
    <col min="19" max="16384" width="9.140625" style="86"/>
  </cols>
  <sheetData>
    <row r="1" spans="1:18" s="113" customFormat="1" ht="18.75" customHeight="1" x14ac:dyDescent="0.25">
      <c r="A1" s="794" t="s">
        <v>506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Q1" s="633"/>
      <c r="R1" s="633"/>
    </row>
    <row r="2" spans="1:18" s="113" customFormat="1" ht="18.75" x14ac:dyDescent="0.25">
      <c r="A2" s="625"/>
      <c r="B2" s="629"/>
      <c r="C2" s="629"/>
      <c r="Q2" s="633"/>
      <c r="R2" s="633"/>
    </row>
    <row r="3" spans="1:18" s="114" customFormat="1" ht="15.75" x14ac:dyDescent="0.25">
      <c r="A3" s="796" t="s">
        <v>318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Q3" s="633"/>
      <c r="R3" s="633"/>
    </row>
    <row r="4" spans="1:18" s="114" customFormat="1" ht="15.75" x14ac:dyDescent="0.25">
      <c r="A4" s="793" t="s">
        <v>319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Q4" s="633"/>
      <c r="R4" s="633"/>
    </row>
    <row r="5" spans="1:18" s="113" customFormat="1" ht="18.75" x14ac:dyDescent="0.25">
      <c r="A5" s="625"/>
      <c r="B5" s="629"/>
      <c r="C5" s="629"/>
      <c r="Q5" s="633"/>
      <c r="R5" s="633"/>
    </row>
    <row r="6" spans="1:18" s="100" customFormat="1" ht="34.5" customHeight="1" x14ac:dyDescent="0.25">
      <c r="A6" s="736" t="s">
        <v>333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620"/>
      <c r="R6" s="620"/>
    </row>
    <row r="7" spans="1:18" s="100" customFormat="1" ht="36" customHeight="1" x14ac:dyDescent="0.25">
      <c r="A7" s="736" t="s">
        <v>505</v>
      </c>
      <c r="B7" s="736"/>
      <c r="C7" s="736"/>
      <c r="D7" s="736"/>
      <c r="E7" s="736"/>
      <c r="F7" s="736"/>
      <c r="G7" s="736"/>
      <c r="H7" s="736"/>
      <c r="I7" s="736"/>
      <c r="J7" s="736"/>
      <c r="K7" s="736"/>
      <c r="L7" s="736"/>
      <c r="M7" s="736"/>
      <c r="N7" s="736"/>
      <c r="O7" s="736"/>
      <c r="P7" s="736"/>
      <c r="Q7" s="619"/>
      <c r="R7" s="619"/>
    </row>
    <row r="8" spans="1:18" s="107" customFormat="1" ht="21" customHeight="1" x14ac:dyDescent="0.25">
      <c r="A8" s="735" t="s">
        <v>337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100"/>
      <c r="Q8" s="622"/>
      <c r="R8" s="622"/>
    </row>
    <row r="9" spans="1:18" s="107" customFormat="1" ht="21" customHeight="1" x14ac:dyDescent="0.25">
      <c r="A9" s="735" t="s">
        <v>338</v>
      </c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P9" s="100"/>
      <c r="Q9" s="622"/>
      <c r="R9" s="622"/>
    </row>
    <row r="10" spans="1:18" s="100" customFormat="1" ht="15.75" x14ac:dyDescent="0.25">
      <c r="A10" s="818" t="s">
        <v>328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Q10" s="620"/>
      <c r="R10" s="620"/>
    </row>
    <row r="11" spans="1:18" s="100" customFormat="1" ht="15" customHeight="1" x14ac:dyDescent="0.25">
      <c r="A11" s="818" t="s">
        <v>340</v>
      </c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Q11" s="620"/>
      <c r="R11" s="620"/>
    </row>
    <row r="12" spans="1:18" s="100" customFormat="1" ht="15" customHeight="1" x14ac:dyDescent="0.25">
      <c r="A12" s="818" t="s">
        <v>341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Q12" s="620"/>
      <c r="R12" s="620"/>
    </row>
    <row r="13" spans="1:18" s="100" customFormat="1" ht="15" customHeight="1" x14ac:dyDescent="0.25">
      <c r="A13" s="818" t="s">
        <v>342</v>
      </c>
      <c r="B13" s="818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Q13" s="620"/>
      <c r="R13" s="620"/>
    </row>
    <row r="14" spans="1:18" s="100" customFormat="1" ht="15" customHeight="1" x14ac:dyDescent="0.25">
      <c r="A14" s="818" t="s">
        <v>334</v>
      </c>
      <c r="B14" s="818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Q14" s="620"/>
      <c r="R14" s="620"/>
    </row>
    <row r="15" spans="1:18" s="100" customFormat="1" ht="15" customHeight="1" x14ac:dyDescent="0.25">
      <c r="A15" s="818" t="s">
        <v>335</v>
      </c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Q15" s="620"/>
      <c r="R15" s="620"/>
    </row>
    <row r="16" spans="1:18" s="100" customFormat="1" ht="15" customHeight="1" x14ac:dyDescent="0.25">
      <c r="A16" s="818" t="s">
        <v>343</v>
      </c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Q16" s="620"/>
      <c r="R16" s="620"/>
    </row>
    <row r="17" spans="1:20" s="100" customFormat="1" ht="15" customHeight="1" x14ac:dyDescent="0.25">
      <c r="A17" s="818" t="s">
        <v>344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Q17" s="620"/>
      <c r="R17" s="620"/>
    </row>
    <row r="18" spans="1:20" s="100" customFormat="1" ht="15" customHeight="1" x14ac:dyDescent="0.25">
      <c r="A18" s="818" t="s">
        <v>345</v>
      </c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Q18" s="620"/>
      <c r="R18" s="620"/>
    </row>
    <row r="19" spans="1:20" s="100" customFormat="1" ht="9" customHeight="1" x14ac:dyDescent="0.25">
      <c r="A19" s="626"/>
      <c r="B19" s="630"/>
      <c r="C19" s="63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Q19" s="620"/>
      <c r="R19" s="620"/>
    </row>
    <row r="20" spans="1:20" s="113" customFormat="1" ht="18.75" x14ac:dyDescent="0.25">
      <c r="A20" s="795" t="s">
        <v>336</v>
      </c>
      <c r="B20" s="795"/>
      <c r="C20" s="795"/>
      <c r="D20" s="795"/>
      <c r="E20" s="795"/>
      <c r="F20" s="795"/>
      <c r="G20" s="795"/>
      <c r="H20" s="795"/>
      <c r="I20" s="795"/>
      <c r="J20" s="795"/>
      <c r="K20" s="795"/>
      <c r="L20" s="795"/>
      <c r="M20" s="795"/>
      <c r="N20" s="795"/>
      <c r="O20" s="795"/>
      <c r="Q20" s="633"/>
      <c r="R20" s="633"/>
    </row>
    <row r="21" spans="1:20" s="113" customFormat="1" ht="10.5" customHeight="1" x14ac:dyDescent="0.25">
      <c r="A21" s="625"/>
      <c r="B21" s="631"/>
      <c r="C21" s="63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Q21" s="633"/>
      <c r="R21" s="633"/>
    </row>
    <row r="22" spans="1:20" ht="15.75" x14ac:dyDescent="0.25">
      <c r="A22" s="815" t="s">
        <v>307</v>
      </c>
      <c r="B22" s="815"/>
      <c r="C22" s="815"/>
      <c r="D22" s="815"/>
      <c r="E22" s="815"/>
      <c r="F22" s="815"/>
      <c r="G22" s="815"/>
      <c r="H22" s="815"/>
      <c r="I22" s="815"/>
      <c r="J22" s="815"/>
      <c r="K22" s="815"/>
      <c r="L22" s="815"/>
      <c r="M22" s="815"/>
      <c r="N22" s="815"/>
      <c r="O22" s="815"/>
      <c r="P22" s="815"/>
    </row>
    <row r="23" spans="1:20" ht="24" customHeight="1" x14ac:dyDescent="0.25">
      <c r="A23" s="627" t="s">
        <v>0</v>
      </c>
      <c r="B23" s="627" t="s">
        <v>1</v>
      </c>
      <c r="C23" s="627" t="s">
        <v>2</v>
      </c>
      <c r="D23" s="4" t="s">
        <v>21</v>
      </c>
      <c r="E23" s="4" t="s">
        <v>22</v>
      </c>
      <c r="F23" s="4" t="s">
        <v>23</v>
      </c>
      <c r="G23" s="4" t="s">
        <v>24</v>
      </c>
      <c r="H23" s="4" t="s">
        <v>25</v>
      </c>
      <c r="I23" s="4" t="s">
        <v>26</v>
      </c>
      <c r="J23" s="4" t="s">
        <v>27</v>
      </c>
      <c r="K23" s="4" t="s">
        <v>28</v>
      </c>
      <c r="L23" s="4" t="s">
        <v>29</v>
      </c>
      <c r="M23" s="4" t="s">
        <v>12</v>
      </c>
      <c r="N23" s="4" t="s">
        <v>13</v>
      </c>
      <c r="O23" s="4" t="s">
        <v>30</v>
      </c>
      <c r="P23" s="4" t="s">
        <v>31</v>
      </c>
    </row>
    <row r="24" spans="1:20" ht="12.95" customHeight="1" x14ac:dyDescent="0.25">
      <c r="A24" s="627">
        <v>1</v>
      </c>
      <c r="B24" s="627">
        <v>2</v>
      </c>
      <c r="C24" s="627">
        <v>3</v>
      </c>
      <c r="D24" s="4">
        <v>4</v>
      </c>
      <c r="E24" s="4">
        <v>5</v>
      </c>
      <c r="F24" s="4">
        <v>6</v>
      </c>
      <c r="G24" s="4">
        <v>7</v>
      </c>
      <c r="H24" s="4">
        <v>8</v>
      </c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P24" s="4">
        <v>16</v>
      </c>
    </row>
    <row r="25" spans="1:20" x14ac:dyDescent="0.25">
      <c r="A25" s="790" t="s">
        <v>296</v>
      </c>
      <c r="B25" s="816"/>
      <c r="C25" s="816"/>
      <c r="D25" s="816"/>
      <c r="E25" s="816"/>
      <c r="F25" s="816"/>
      <c r="G25" s="816"/>
      <c r="H25" s="816"/>
      <c r="I25" s="816"/>
      <c r="J25" s="816"/>
      <c r="K25" s="816"/>
      <c r="L25" s="816"/>
      <c r="M25" s="816"/>
      <c r="N25" s="816"/>
      <c r="O25" s="816"/>
      <c r="P25" s="817"/>
    </row>
    <row r="26" spans="1:20" x14ac:dyDescent="0.25">
      <c r="A26" s="767" t="s">
        <v>16</v>
      </c>
      <c r="B26" s="800"/>
      <c r="C26" s="800"/>
      <c r="D26" s="800"/>
      <c r="E26" s="800"/>
      <c r="F26" s="800"/>
      <c r="G26" s="800"/>
      <c r="H26" s="800"/>
      <c r="I26" s="800"/>
      <c r="J26" s="800"/>
      <c r="K26" s="800"/>
      <c r="L26" s="800"/>
      <c r="M26" s="800"/>
      <c r="N26" s="800"/>
      <c r="O26" s="800"/>
      <c r="P26" s="801"/>
      <c r="Q26" s="419"/>
      <c r="R26" s="419"/>
    </row>
    <row r="27" spans="1:20" x14ac:dyDescent="0.25">
      <c r="A27" s="767" t="s">
        <v>33</v>
      </c>
      <c r="B27" s="800"/>
      <c r="C27" s="800"/>
      <c r="D27" s="800"/>
      <c r="E27" s="800"/>
      <c r="F27" s="800"/>
      <c r="G27" s="800"/>
      <c r="H27" s="800"/>
      <c r="I27" s="800"/>
      <c r="J27" s="800"/>
      <c r="K27" s="800"/>
      <c r="L27" s="800"/>
      <c r="M27" s="800"/>
      <c r="N27" s="800"/>
      <c r="O27" s="800"/>
      <c r="P27" s="801"/>
      <c r="Q27" s="27" t="s">
        <v>32</v>
      </c>
      <c r="R27" s="27" t="s">
        <v>17</v>
      </c>
    </row>
    <row r="28" spans="1:20" ht="25.5" x14ac:dyDescent="0.25">
      <c r="A28" s="802">
        <v>800102</v>
      </c>
      <c r="B28" s="772" t="s">
        <v>67</v>
      </c>
      <c r="C28" s="774" t="s">
        <v>18</v>
      </c>
      <c r="D28" s="34">
        <v>6.3</v>
      </c>
      <c r="E28" s="34">
        <v>1.6</v>
      </c>
      <c r="F28" s="34">
        <v>1</v>
      </c>
      <c r="G28" s="34">
        <v>0.91</v>
      </c>
      <c r="H28" s="34">
        <v>30</v>
      </c>
      <c r="I28" s="34">
        <f>ROUND((R28/Q28),0)</f>
        <v>80</v>
      </c>
      <c r="J28" s="34">
        <v>1.4</v>
      </c>
      <c r="K28" s="34">
        <v>0.1</v>
      </c>
      <c r="L28" s="34">
        <v>0</v>
      </c>
      <c r="M28" s="28" t="s">
        <v>35</v>
      </c>
      <c r="N28" s="28">
        <v>2908</v>
      </c>
      <c r="O28" s="34">
        <f>ROUND((D28*E28*F28*G28*J28*K28/(1/3*H28)*(1-L28)),4)</f>
        <v>0.12839999999999999</v>
      </c>
      <c r="P28" s="34">
        <f>ROUND((((D28*(3.6*E28*F28*G28/H28)*I28*J28*K28)*(1-L28)/1000)),4)</f>
        <v>1.23E-2</v>
      </c>
      <c r="Q28" s="27">
        <v>25</v>
      </c>
      <c r="R28" s="27">
        <f>4970*0.4</f>
        <v>1988</v>
      </c>
      <c r="S28" s="88"/>
      <c r="T28" s="88"/>
    </row>
    <row r="29" spans="1:20" ht="25.5" x14ac:dyDescent="0.25">
      <c r="A29" s="811"/>
      <c r="B29" s="804"/>
      <c r="C29" s="804"/>
      <c r="D29" s="34">
        <v>6.3</v>
      </c>
      <c r="E29" s="34">
        <v>1.6</v>
      </c>
      <c r="F29" s="34">
        <v>1.4</v>
      </c>
      <c r="G29" s="34">
        <v>0.91</v>
      </c>
      <c r="H29" s="34">
        <v>70</v>
      </c>
      <c r="I29" s="34">
        <f>ROUND((R29/Q29),0)</f>
        <v>75</v>
      </c>
      <c r="J29" s="34">
        <v>1.4</v>
      </c>
      <c r="K29" s="34">
        <v>0.1</v>
      </c>
      <c r="L29" s="34">
        <v>0</v>
      </c>
      <c r="M29" s="28" t="s">
        <v>35</v>
      </c>
      <c r="N29" s="28">
        <v>2908</v>
      </c>
      <c r="O29" s="34">
        <f>ROUND((D29*E29*F29*G29*J29*K29/(1/3*H29)*(1-L29)),4)</f>
        <v>7.7100000000000002E-2</v>
      </c>
      <c r="P29" s="34">
        <f>ROUND((((D29*(3.6*E29*F29*G29/H29)*I29*J29*K29)*(1-L29)/1000)),4)</f>
        <v>6.8999999999999999E-3</v>
      </c>
      <c r="Q29" s="27">
        <v>40</v>
      </c>
      <c r="R29" s="27">
        <f>4970*0.6</f>
        <v>2982</v>
      </c>
      <c r="S29" s="88">
        <f>R28+R29</f>
        <v>4970</v>
      </c>
      <c r="T29" s="88"/>
    </row>
    <row r="30" spans="1:20" ht="25.5" x14ac:dyDescent="0.25">
      <c r="A30" s="811"/>
      <c r="B30" s="772" t="s">
        <v>524</v>
      </c>
      <c r="C30" s="774" t="s">
        <v>281</v>
      </c>
      <c r="D30" s="34">
        <v>6.3</v>
      </c>
      <c r="E30" s="34">
        <v>1.83</v>
      </c>
      <c r="F30" s="34">
        <v>1</v>
      </c>
      <c r="G30" s="34">
        <v>0.84</v>
      </c>
      <c r="H30" s="34">
        <v>30</v>
      </c>
      <c r="I30" s="34">
        <f>ROUND((R30/Q30),0)</f>
        <v>258</v>
      </c>
      <c r="J30" s="34">
        <v>1.4</v>
      </c>
      <c r="K30" s="34">
        <v>0.1</v>
      </c>
      <c r="L30" s="34">
        <v>0</v>
      </c>
      <c r="M30" s="28" t="s">
        <v>35</v>
      </c>
      <c r="N30" s="28">
        <v>2908</v>
      </c>
      <c r="O30" s="34">
        <f>ROUND((D30*E30*F30*G30*J30*K30/(1/3*H30)*(1-L30)),4)</f>
        <v>0.1356</v>
      </c>
      <c r="P30" s="34">
        <f>ROUND((((D30*(3.6*E30*F30*G30/H30)*I30*J30*K30)*(1-L30)/1000)),4)</f>
        <v>4.2000000000000003E-2</v>
      </c>
      <c r="Q30" s="27">
        <v>50</v>
      </c>
      <c r="R30" s="27">
        <f>(7100+25200)*0.4</f>
        <v>12920</v>
      </c>
      <c r="S30" s="88"/>
      <c r="T30" s="88"/>
    </row>
    <row r="31" spans="1:20" ht="25.5" x14ac:dyDescent="0.25">
      <c r="A31" s="803"/>
      <c r="B31" s="804"/>
      <c r="C31" s="804"/>
      <c r="D31" s="34">
        <v>6.3</v>
      </c>
      <c r="E31" s="34">
        <v>1.83</v>
      </c>
      <c r="F31" s="34">
        <v>1.4</v>
      </c>
      <c r="G31" s="34">
        <v>0.84</v>
      </c>
      <c r="H31" s="34">
        <v>70</v>
      </c>
      <c r="I31" s="34">
        <f>ROUND((R31/Q31),0)</f>
        <v>298</v>
      </c>
      <c r="J31" s="34">
        <v>1.4</v>
      </c>
      <c r="K31" s="34">
        <v>0.1</v>
      </c>
      <c r="L31" s="34">
        <v>0</v>
      </c>
      <c r="M31" s="28" t="s">
        <v>35</v>
      </c>
      <c r="N31" s="28">
        <v>2908</v>
      </c>
      <c r="O31" s="34">
        <f>ROUND((D31*E31*F31*G31*J31*K31/(1/3*H31)*(1-L31)),4)</f>
        <v>8.1299999999999997E-2</v>
      </c>
      <c r="P31" s="34">
        <f>ROUND((((D31*(3.6*E31*F31*G31/H31)*I31*J31*K31)*(1-L31)/1000)),4)</f>
        <v>2.9100000000000001E-2</v>
      </c>
      <c r="Q31" s="27">
        <v>65</v>
      </c>
      <c r="R31" s="27">
        <f>(7100+25200)*0.6</f>
        <v>19380</v>
      </c>
      <c r="S31" s="87">
        <f>R31/Q31</f>
        <v>298.15384615384613</v>
      </c>
      <c r="T31" s="88"/>
    </row>
    <row r="32" spans="1:20" ht="25.5" x14ac:dyDescent="0.25">
      <c r="A32" s="797" t="s">
        <v>496</v>
      </c>
      <c r="B32" s="798"/>
      <c r="C32" s="798"/>
      <c r="D32" s="798"/>
      <c r="E32" s="798"/>
      <c r="F32" s="798"/>
      <c r="G32" s="798"/>
      <c r="H32" s="798"/>
      <c r="I32" s="798"/>
      <c r="J32" s="798"/>
      <c r="K32" s="798"/>
      <c r="L32" s="799"/>
      <c r="M32" s="29" t="s">
        <v>35</v>
      </c>
      <c r="N32" s="29">
        <v>2908</v>
      </c>
      <c r="O32" s="36">
        <f>O30+O31+O28+O29</f>
        <v>0.42239999999999994</v>
      </c>
      <c r="P32" s="36">
        <f>P30+P31+P28+P29</f>
        <v>9.0300000000000005E-2</v>
      </c>
      <c r="Q32" s="91">
        <f>SUM(Q28:Q31)</f>
        <v>180</v>
      </c>
      <c r="R32" s="91">
        <f>SUM(R28:R31)</f>
        <v>37270</v>
      </c>
      <c r="S32" s="86">
        <f>R32/Q32</f>
        <v>207.05555555555554</v>
      </c>
    </row>
    <row r="33" spans="1:20" x14ac:dyDescent="0.25">
      <c r="A33" s="767" t="s">
        <v>94</v>
      </c>
      <c r="B33" s="800"/>
      <c r="C33" s="800"/>
      <c r="D33" s="800"/>
      <c r="E33" s="800"/>
      <c r="F33" s="800"/>
      <c r="G33" s="800"/>
      <c r="H33" s="800"/>
      <c r="I33" s="800"/>
      <c r="J33" s="800"/>
      <c r="K33" s="800"/>
      <c r="L33" s="800"/>
      <c r="M33" s="800"/>
      <c r="N33" s="800"/>
      <c r="O33" s="800"/>
      <c r="P33" s="801"/>
    </row>
    <row r="34" spans="1:20" ht="24" customHeight="1" x14ac:dyDescent="0.25">
      <c r="A34" s="812">
        <v>800402</v>
      </c>
      <c r="B34" s="786" t="s">
        <v>67</v>
      </c>
      <c r="C34" s="788" t="s">
        <v>18</v>
      </c>
      <c r="D34" s="6">
        <v>6.3</v>
      </c>
      <c r="E34" s="6">
        <v>1.6</v>
      </c>
      <c r="F34" s="6">
        <v>1</v>
      </c>
      <c r="G34" s="6">
        <v>0.91</v>
      </c>
      <c r="H34" s="6">
        <v>30</v>
      </c>
      <c r="I34" s="6">
        <f>ROUND((R34/Q34),0)</f>
        <v>722</v>
      </c>
      <c r="J34" s="6">
        <v>1.4</v>
      </c>
      <c r="K34" s="6">
        <v>0.1</v>
      </c>
      <c r="L34" s="6">
        <v>0</v>
      </c>
      <c r="M34" s="1" t="s">
        <v>35</v>
      </c>
      <c r="N34" s="1">
        <v>2908</v>
      </c>
      <c r="O34" s="6">
        <f>ROUND((D34*E34*F34*G34*J34*K34/(1/3*H34)*(1-L34)),4)</f>
        <v>0.12839999999999999</v>
      </c>
      <c r="P34" s="6">
        <f>ROUND((((D34*(3.6*E34*F34*G34/H34)*I34*J34*K34)*(1-L34)/1000)),4)</f>
        <v>0.1113</v>
      </c>
      <c r="Q34" s="91">
        <v>120</v>
      </c>
      <c r="R34" s="91">
        <f>216720*0.4</f>
        <v>86688</v>
      </c>
      <c r="S34" s="87"/>
      <c r="T34" s="87"/>
    </row>
    <row r="35" spans="1:20" ht="24" customHeight="1" x14ac:dyDescent="0.25">
      <c r="A35" s="813"/>
      <c r="B35" s="805"/>
      <c r="C35" s="805"/>
      <c r="D35" s="6">
        <v>6.3</v>
      </c>
      <c r="E35" s="6">
        <v>1.6</v>
      </c>
      <c r="F35" s="6">
        <v>1.4</v>
      </c>
      <c r="G35" s="6">
        <v>0.91</v>
      </c>
      <c r="H35" s="6">
        <v>70</v>
      </c>
      <c r="I35" s="6">
        <f>ROUND((R35/Q35),0)</f>
        <v>634</v>
      </c>
      <c r="J35" s="6">
        <v>1.4</v>
      </c>
      <c r="K35" s="6">
        <v>0.1</v>
      </c>
      <c r="L35" s="6">
        <v>0</v>
      </c>
      <c r="M35" s="1" t="s">
        <v>35</v>
      </c>
      <c r="N35" s="1">
        <v>2908</v>
      </c>
      <c r="O35" s="6">
        <f>ROUND((D35*E35*F35*G35*J35*K35/(1/3*H35)*(1-L35)),4)</f>
        <v>7.7100000000000002E-2</v>
      </c>
      <c r="P35" s="6">
        <f>ROUND((((D35*(3.6*E35*F35*G35/H35)*I35*J35*K35)*(1-L35)/1000)),4)</f>
        <v>5.8599999999999999E-2</v>
      </c>
      <c r="Q35" s="91">
        <v>205</v>
      </c>
      <c r="R35" s="91">
        <f>216720*0.6</f>
        <v>130032</v>
      </c>
      <c r="S35" s="87">
        <f>R35/Q35</f>
        <v>634.3024390243902</v>
      </c>
      <c r="T35" s="87"/>
    </row>
    <row r="36" spans="1:20" ht="24" customHeight="1" x14ac:dyDescent="0.25">
      <c r="A36" s="819"/>
      <c r="B36" s="786" t="s">
        <v>525</v>
      </c>
      <c r="C36" s="788" t="s">
        <v>281</v>
      </c>
      <c r="D36" s="6">
        <v>6.3</v>
      </c>
      <c r="E36" s="6">
        <v>1.83</v>
      </c>
      <c r="F36" s="6">
        <v>1</v>
      </c>
      <c r="G36" s="6">
        <v>0.84</v>
      </c>
      <c r="H36" s="6">
        <v>30</v>
      </c>
      <c r="I36" s="6">
        <f>ROUND((R36/Q36),0)</f>
        <v>1315</v>
      </c>
      <c r="J36" s="6">
        <v>1.4</v>
      </c>
      <c r="K36" s="6">
        <v>0.1</v>
      </c>
      <c r="L36" s="6">
        <v>0</v>
      </c>
      <c r="M36" s="1" t="s">
        <v>35</v>
      </c>
      <c r="N36" s="1">
        <v>2908</v>
      </c>
      <c r="O36" s="6">
        <f>ROUND((D36*E36*F36*G36*J36*K36/(1/3*H36)*(1-L36)),4)</f>
        <v>0.1356</v>
      </c>
      <c r="P36" s="6">
        <f>ROUND((((D36*(3.6*E36*F36*G36/H36)*I36*J36*K36)*(1-L36)/1000)),4)</f>
        <v>0.21390000000000001</v>
      </c>
      <c r="Q36" s="27">
        <v>30</v>
      </c>
      <c r="R36" s="27">
        <f>(98633)*0.4</f>
        <v>39453.200000000004</v>
      </c>
      <c r="S36" s="88"/>
      <c r="T36" s="88"/>
    </row>
    <row r="37" spans="1:20" ht="24" customHeight="1" x14ac:dyDescent="0.25">
      <c r="A37" s="820"/>
      <c r="B37" s="805"/>
      <c r="C37" s="805"/>
      <c r="D37" s="6">
        <v>6.3</v>
      </c>
      <c r="E37" s="6">
        <v>1.83</v>
      </c>
      <c r="F37" s="6">
        <v>1.4</v>
      </c>
      <c r="G37" s="6">
        <v>0.84</v>
      </c>
      <c r="H37" s="6">
        <v>70</v>
      </c>
      <c r="I37" s="6">
        <f>ROUND((R37/Q37),0)</f>
        <v>986</v>
      </c>
      <c r="J37" s="6">
        <v>1.4</v>
      </c>
      <c r="K37" s="6">
        <v>0.1</v>
      </c>
      <c r="L37" s="6">
        <v>0</v>
      </c>
      <c r="M37" s="1" t="s">
        <v>35</v>
      </c>
      <c r="N37" s="1">
        <v>2908</v>
      </c>
      <c r="O37" s="6">
        <f>ROUND((D37*E37*F37*G37*J37*K37/(1/3*H37)*(1-L37)),4)</f>
        <v>8.1299999999999997E-2</v>
      </c>
      <c r="P37" s="6">
        <f>ROUND((((D37*(3.6*E37*F37*G37/H37)*I37*J37*K37)*(1-L37)/1000)),4)</f>
        <v>9.6299999999999997E-2</v>
      </c>
      <c r="Q37" s="27">
        <v>60</v>
      </c>
      <c r="R37" s="27">
        <f>(98633)*0.6</f>
        <v>59179.799999999996</v>
      </c>
      <c r="S37" s="88"/>
      <c r="T37" s="88"/>
    </row>
    <row r="38" spans="1:20" ht="25.5" x14ac:dyDescent="0.25">
      <c r="A38" s="806" t="s">
        <v>487</v>
      </c>
      <c r="B38" s="807"/>
      <c r="C38" s="807"/>
      <c r="D38" s="807"/>
      <c r="E38" s="807"/>
      <c r="F38" s="807"/>
      <c r="G38" s="807"/>
      <c r="H38" s="807"/>
      <c r="I38" s="807"/>
      <c r="J38" s="807"/>
      <c r="K38" s="807"/>
      <c r="L38" s="808"/>
      <c r="M38" s="7" t="s">
        <v>35</v>
      </c>
      <c r="N38" s="7">
        <v>2908</v>
      </c>
      <c r="O38" s="8">
        <f>O36+O37+O34+O35</f>
        <v>0.42239999999999994</v>
      </c>
      <c r="P38" s="8">
        <f>P36+P37+P34+P35</f>
        <v>0.48010000000000003</v>
      </c>
      <c r="Q38" s="623"/>
      <c r="R38" s="623"/>
      <c r="S38" s="88"/>
      <c r="T38" s="88"/>
    </row>
    <row r="39" spans="1:20" x14ac:dyDescent="0.25">
      <c r="A39" s="767" t="s">
        <v>133</v>
      </c>
      <c r="B39" s="800"/>
      <c r="C39" s="800"/>
      <c r="D39" s="800"/>
      <c r="E39" s="800"/>
      <c r="F39" s="800"/>
      <c r="G39" s="800"/>
      <c r="H39" s="800"/>
      <c r="I39" s="800"/>
      <c r="J39" s="800"/>
      <c r="K39" s="800"/>
      <c r="L39" s="800"/>
      <c r="M39" s="800"/>
      <c r="N39" s="800"/>
      <c r="O39" s="800"/>
      <c r="P39" s="801"/>
      <c r="Q39" s="27"/>
      <c r="R39" s="419"/>
      <c r="S39" s="87"/>
      <c r="T39" s="87"/>
    </row>
    <row r="40" spans="1:20" ht="25.5" x14ac:dyDescent="0.25">
      <c r="A40" s="802" t="s">
        <v>533</v>
      </c>
      <c r="B40" s="772" t="s">
        <v>67</v>
      </c>
      <c r="C40" s="774" t="s">
        <v>18</v>
      </c>
      <c r="D40" s="34">
        <v>6.3</v>
      </c>
      <c r="E40" s="34">
        <v>1.6</v>
      </c>
      <c r="F40" s="34">
        <v>1</v>
      </c>
      <c r="G40" s="34">
        <v>0.91</v>
      </c>
      <c r="H40" s="34">
        <v>30</v>
      </c>
      <c r="I40" s="34">
        <f>ROUND((R40/Q40),0)</f>
        <v>154</v>
      </c>
      <c r="J40" s="34">
        <v>1.4</v>
      </c>
      <c r="K40" s="34">
        <v>0.1</v>
      </c>
      <c r="L40" s="34">
        <v>0</v>
      </c>
      <c r="M40" s="28" t="s">
        <v>35</v>
      </c>
      <c r="N40" s="28">
        <v>2908</v>
      </c>
      <c r="O40" s="34">
        <f>ROUND((D40*E40*F40*G40*J40*K40/(1/3*H40)*(1-L40)),4)</f>
        <v>0.12839999999999999</v>
      </c>
      <c r="P40" s="34">
        <f>ROUND((((D40*(3.6*E40*F40*G40/H40)*I40*J40*K40)*(1-L40)/1000)),4)</f>
        <v>2.3699999999999999E-2</v>
      </c>
      <c r="Q40" s="27">
        <v>25</v>
      </c>
      <c r="R40" s="27">
        <f>9603*0.4</f>
        <v>3841.2000000000003</v>
      </c>
      <c r="S40" s="88"/>
      <c r="T40" s="88"/>
    </row>
    <row r="41" spans="1:20" ht="25.5" x14ac:dyDescent="0.25">
      <c r="A41" s="803"/>
      <c r="B41" s="804"/>
      <c r="C41" s="804"/>
      <c r="D41" s="34">
        <v>6.3</v>
      </c>
      <c r="E41" s="34">
        <v>1.6</v>
      </c>
      <c r="F41" s="34">
        <v>1.4</v>
      </c>
      <c r="G41" s="34">
        <v>0.91</v>
      </c>
      <c r="H41" s="34">
        <v>70</v>
      </c>
      <c r="I41" s="34">
        <f>ROUND((R41/Q41),0)</f>
        <v>144</v>
      </c>
      <c r="J41" s="34">
        <v>1.4</v>
      </c>
      <c r="K41" s="34">
        <v>0.1</v>
      </c>
      <c r="L41" s="34">
        <v>0</v>
      </c>
      <c r="M41" s="28" t="s">
        <v>35</v>
      </c>
      <c r="N41" s="28">
        <v>2908</v>
      </c>
      <c r="O41" s="34">
        <f>ROUND((D41*E41*F41*G41*J41*K41/(1/3*H41)*(1-L41)),4)</f>
        <v>7.7100000000000002E-2</v>
      </c>
      <c r="P41" s="34">
        <f>ROUND((((D41*(3.6*E41*F41*G41/H41)*I41*J41*K41)*(1-L41)/1000)),4)</f>
        <v>1.3299999999999999E-2</v>
      </c>
      <c r="Q41" s="27">
        <v>40</v>
      </c>
      <c r="R41" s="27">
        <f>9603*0.6</f>
        <v>5761.8</v>
      </c>
      <c r="S41" s="88"/>
      <c r="T41" s="88"/>
    </row>
    <row r="42" spans="1:20" ht="25.5" x14ac:dyDescent="0.25">
      <c r="A42" s="797" t="s">
        <v>534</v>
      </c>
      <c r="B42" s="798"/>
      <c r="C42" s="798"/>
      <c r="D42" s="798"/>
      <c r="E42" s="798"/>
      <c r="F42" s="798"/>
      <c r="G42" s="798"/>
      <c r="H42" s="798"/>
      <c r="I42" s="798"/>
      <c r="J42" s="798"/>
      <c r="K42" s="798"/>
      <c r="L42" s="799"/>
      <c r="M42" s="29" t="s">
        <v>35</v>
      </c>
      <c r="N42" s="29">
        <v>2908</v>
      </c>
      <c r="O42" s="36">
        <f>O40+O41</f>
        <v>0.20549999999999999</v>
      </c>
      <c r="P42" s="36">
        <f>P40+P41</f>
        <v>3.6999999999999998E-2</v>
      </c>
      <c r="Q42" s="623">
        <f>O32+O38+O42</f>
        <v>1.0502999999999998</v>
      </c>
      <c r="R42" s="623">
        <f>P32+P38+P42</f>
        <v>0.60740000000000005</v>
      </c>
      <c r="S42" s="88"/>
      <c r="T42" s="88"/>
    </row>
    <row r="43" spans="1:20" x14ac:dyDescent="0.25">
      <c r="A43" s="767" t="s">
        <v>103</v>
      </c>
      <c r="B43" s="800"/>
      <c r="C43" s="800"/>
      <c r="D43" s="800"/>
      <c r="E43" s="800"/>
      <c r="F43" s="800"/>
      <c r="G43" s="800"/>
      <c r="H43" s="800"/>
      <c r="I43" s="800"/>
      <c r="J43" s="800"/>
      <c r="K43" s="800"/>
      <c r="L43" s="800"/>
      <c r="M43" s="800"/>
      <c r="N43" s="800"/>
      <c r="O43" s="800"/>
      <c r="P43" s="801"/>
    </row>
    <row r="44" spans="1:20" x14ac:dyDescent="0.25">
      <c r="A44" s="767" t="s">
        <v>104</v>
      </c>
      <c r="B44" s="800"/>
      <c r="C44" s="800"/>
      <c r="D44" s="800"/>
      <c r="E44" s="800"/>
      <c r="F44" s="800"/>
      <c r="G44" s="800"/>
      <c r="H44" s="800"/>
      <c r="I44" s="800"/>
      <c r="J44" s="800"/>
      <c r="K44" s="800"/>
      <c r="L44" s="800"/>
      <c r="M44" s="800"/>
      <c r="N44" s="800"/>
      <c r="O44" s="800"/>
      <c r="P44" s="801"/>
    </row>
    <row r="45" spans="1:20" ht="25.5" x14ac:dyDescent="0.25">
      <c r="A45" s="802">
        <v>800402</v>
      </c>
      <c r="B45" s="772" t="s">
        <v>67</v>
      </c>
      <c r="C45" s="774" t="s">
        <v>18</v>
      </c>
      <c r="D45" s="34">
        <v>6.3</v>
      </c>
      <c r="E45" s="34">
        <v>1.6</v>
      </c>
      <c r="F45" s="34">
        <v>1</v>
      </c>
      <c r="G45" s="34">
        <v>0.91</v>
      </c>
      <c r="H45" s="34">
        <v>30</v>
      </c>
      <c r="I45" s="34">
        <f>ROUND((R45/Q45),0)</f>
        <v>634</v>
      </c>
      <c r="J45" s="34">
        <v>1.4</v>
      </c>
      <c r="K45" s="34">
        <v>0.1</v>
      </c>
      <c r="L45" s="34">
        <v>0</v>
      </c>
      <c r="M45" s="28" t="s">
        <v>35</v>
      </c>
      <c r="N45" s="28">
        <v>2908</v>
      </c>
      <c r="O45" s="34">
        <f>ROUND((D45*E45*F45*G45*J45*K45/(1/3*H45)*(1-L45)),4)</f>
        <v>0.12839999999999999</v>
      </c>
      <c r="P45" s="34">
        <f>ROUND((((D45*(3.6*E45*F45*G45/H45)*I45*J45*K45)*(1-L45)/1000)),4)</f>
        <v>9.7699999999999995E-2</v>
      </c>
      <c r="Q45" s="91">
        <v>20</v>
      </c>
      <c r="R45" s="91">
        <f>31695*0.4</f>
        <v>12678</v>
      </c>
    </row>
    <row r="46" spans="1:20" ht="25.5" x14ac:dyDescent="0.25">
      <c r="A46" s="811"/>
      <c r="B46" s="804"/>
      <c r="C46" s="804"/>
      <c r="D46" s="34">
        <v>6.3</v>
      </c>
      <c r="E46" s="34">
        <v>1.6</v>
      </c>
      <c r="F46" s="34">
        <v>1.4</v>
      </c>
      <c r="G46" s="34">
        <v>0.91</v>
      </c>
      <c r="H46" s="34">
        <v>70</v>
      </c>
      <c r="I46" s="34">
        <f>ROUND((R46/Q46),0)</f>
        <v>951</v>
      </c>
      <c r="J46" s="34">
        <v>1.4</v>
      </c>
      <c r="K46" s="34">
        <v>0.1</v>
      </c>
      <c r="L46" s="34">
        <v>0</v>
      </c>
      <c r="M46" s="28" t="s">
        <v>35</v>
      </c>
      <c r="N46" s="28">
        <v>2908</v>
      </c>
      <c r="O46" s="34">
        <f>ROUND((D46*E46*F46*G46*J46*K46/(1/3*H46)*(1-L46)),4)</f>
        <v>7.7100000000000002E-2</v>
      </c>
      <c r="P46" s="34">
        <f>ROUND((((D46*(3.6*E46*F46*G46/H46)*I46*J46*K46)*(1-L46)/1000)),4)</f>
        <v>8.7900000000000006E-2</v>
      </c>
      <c r="Q46" s="91">
        <v>20</v>
      </c>
      <c r="R46" s="91">
        <f>31695*0.6</f>
        <v>19017</v>
      </c>
    </row>
    <row r="47" spans="1:20" ht="25.5" x14ac:dyDescent="0.25">
      <c r="A47" s="811"/>
      <c r="B47" s="772" t="s">
        <v>525</v>
      </c>
      <c r="C47" s="774" t="s">
        <v>281</v>
      </c>
      <c r="D47" s="34">
        <v>6.3</v>
      </c>
      <c r="E47" s="34">
        <v>1.83</v>
      </c>
      <c r="F47" s="34">
        <v>1</v>
      </c>
      <c r="G47" s="34">
        <v>0.84</v>
      </c>
      <c r="H47" s="34">
        <v>30</v>
      </c>
      <c r="I47" s="34">
        <f>ROUND((R47/Q47),0)</f>
        <v>362</v>
      </c>
      <c r="J47" s="34">
        <v>1.4</v>
      </c>
      <c r="K47" s="34">
        <v>0.1</v>
      </c>
      <c r="L47" s="34">
        <v>0</v>
      </c>
      <c r="M47" s="28" t="s">
        <v>35</v>
      </c>
      <c r="N47" s="28">
        <v>2908</v>
      </c>
      <c r="O47" s="34">
        <f>ROUND((D47*E47*F47*G47*J47*K47/(1/3*H47)*(1-L47)),4)</f>
        <v>0.1356</v>
      </c>
      <c r="P47" s="34">
        <f>ROUND((((D47*(3.6*E47*F47*G47/H47)*I47*J47*K47)*(1-L47)/1000)),4)</f>
        <v>5.8900000000000001E-2</v>
      </c>
      <c r="Q47" s="91">
        <v>20</v>
      </c>
      <c r="R47" s="91">
        <f>(18095)*0.4</f>
        <v>7238</v>
      </c>
    </row>
    <row r="48" spans="1:20" ht="25.5" x14ac:dyDescent="0.25">
      <c r="A48" s="803"/>
      <c r="B48" s="804"/>
      <c r="C48" s="804"/>
      <c r="D48" s="34">
        <v>6.3</v>
      </c>
      <c r="E48" s="34">
        <v>1.83</v>
      </c>
      <c r="F48" s="34">
        <v>1.4</v>
      </c>
      <c r="G48" s="34">
        <v>0.84</v>
      </c>
      <c r="H48" s="34">
        <v>70</v>
      </c>
      <c r="I48" s="34">
        <f>ROUND((R48/Q48),0)</f>
        <v>271</v>
      </c>
      <c r="J48" s="34">
        <v>1.4</v>
      </c>
      <c r="K48" s="34">
        <v>0.1</v>
      </c>
      <c r="L48" s="34">
        <v>0</v>
      </c>
      <c r="M48" s="28" t="s">
        <v>35</v>
      </c>
      <c r="N48" s="28">
        <v>2908</v>
      </c>
      <c r="O48" s="34">
        <f>ROUND((D48*E48*F48*G48*J48*K48/(1/3*H48)*(1-L48)),4)</f>
        <v>8.1299999999999997E-2</v>
      </c>
      <c r="P48" s="34">
        <f>ROUND((((D48*(3.6*E48*F48*G48/H48)*I48*J48*K48)*(1-L48)/1000)),4)</f>
        <v>2.6499999999999999E-2</v>
      </c>
      <c r="Q48" s="91">
        <v>40</v>
      </c>
      <c r="R48" s="91">
        <f>(18095)*0.6</f>
        <v>10857</v>
      </c>
    </row>
    <row r="49" spans="1:20" ht="25.5" x14ac:dyDescent="0.25">
      <c r="A49" s="797" t="s">
        <v>487</v>
      </c>
      <c r="B49" s="798"/>
      <c r="C49" s="798"/>
      <c r="D49" s="798"/>
      <c r="E49" s="798"/>
      <c r="F49" s="798"/>
      <c r="G49" s="798"/>
      <c r="H49" s="798"/>
      <c r="I49" s="798"/>
      <c r="J49" s="798"/>
      <c r="K49" s="798"/>
      <c r="L49" s="799"/>
      <c r="M49" s="29" t="s">
        <v>35</v>
      </c>
      <c r="N49" s="29">
        <v>2908</v>
      </c>
      <c r="O49" s="36">
        <f>O47+O48+O45+O46</f>
        <v>0.42239999999999994</v>
      </c>
      <c r="P49" s="36">
        <f>P47+P48+P45+P46</f>
        <v>0.27100000000000002</v>
      </c>
      <c r="Q49" s="634">
        <f>O49</f>
        <v>0.42239999999999994</v>
      </c>
      <c r="R49" s="634">
        <f>P49</f>
        <v>0.27100000000000002</v>
      </c>
    </row>
    <row r="50" spans="1:20" x14ac:dyDescent="0.25">
      <c r="A50" s="781" t="s">
        <v>109</v>
      </c>
      <c r="B50" s="809"/>
      <c r="C50" s="809"/>
      <c r="D50" s="809"/>
      <c r="E50" s="809"/>
      <c r="F50" s="809"/>
      <c r="G50" s="809"/>
      <c r="H50" s="809"/>
      <c r="I50" s="809"/>
      <c r="J50" s="809"/>
      <c r="K50" s="809"/>
      <c r="L50" s="809"/>
      <c r="M50" s="809"/>
      <c r="N50" s="809"/>
      <c r="O50" s="809"/>
      <c r="P50" s="810"/>
    </row>
    <row r="51" spans="1:20" x14ac:dyDescent="0.25">
      <c r="A51" s="781" t="s">
        <v>110</v>
      </c>
      <c r="B51" s="809"/>
      <c r="C51" s="809"/>
      <c r="D51" s="809"/>
      <c r="E51" s="809"/>
      <c r="F51" s="809"/>
      <c r="G51" s="809"/>
      <c r="H51" s="809"/>
      <c r="I51" s="809"/>
      <c r="J51" s="809"/>
      <c r="K51" s="809"/>
      <c r="L51" s="809"/>
      <c r="M51" s="809"/>
      <c r="N51" s="809"/>
      <c r="O51" s="809"/>
      <c r="P51" s="810"/>
    </row>
    <row r="52" spans="1:20" ht="25.5" x14ac:dyDescent="0.25">
      <c r="A52" s="812">
        <v>800402</v>
      </c>
      <c r="B52" s="786" t="s">
        <v>67</v>
      </c>
      <c r="C52" s="788" t="s">
        <v>18</v>
      </c>
      <c r="D52" s="6">
        <v>6.3</v>
      </c>
      <c r="E52" s="6">
        <v>1.6</v>
      </c>
      <c r="F52" s="6">
        <v>1</v>
      </c>
      <c r="G52" s="6">
        <v>0.91</v>
      </c>
      <c r="H52" s="6">
        <v>30</v>
      </c>
      <c r="I52" s="6">
        <f>ROUND((R52/Q52),0)</f>
        <v>364</v>
      </c>
      <c r="J52" s="6">
        <v>1.4</v>
      </c>
      <c r="K52" s="6">
        <v>0.1</v>
      </c>
      <c r="L52" s="6">
        <v>0</v>
      </c>
      <c r="M52" s="1" t="s">
        <v>35</v>
      </c>
      <c r="N52" s="1">
        <v>2908</v>
      </c>
      <c r="O52" s="6">
        <f>ROUND((D52*E52*F52*G52*J52*K52/(1/3*H52)*(1-L52)),4)</f>
        <v>0.12839999999999999</v>
      </c>
      <c r="P52" s="6">
        <f>ROUND((((D52*(3.6*E52*F52*G52/H52)*I52*J52*K52)*(1-L52)/1000)),4)</f>
        <v>5.6099999999999997E-2</v>
      </c>
      <c r="Q52" s="27">
        <v>30</v>
      </c>
      <c r="R52" s="27">
        <f>27285*0.4</f>
        <v>10914</v>
      </c>
      <c r="S52" s="87"/>
      <c r="T52" s="87"/>
    </row>
    <row r="53" spans="1:20" ht="25.5" x14ac:dyDescent="0.25">
      <c r="A53" s="813"/>
      <c r="B53" s="805"/>
      <c r="C53" s="805"/>
      <c r="D53" s="6">
        <v>6.3</v>
      </c>
      <c r="E53" s="6">
        <v>1.6</v>
      </c>
      <c r="F53" s="6">
        <v>1.4</v>
      </c>
      <c r="G53" s="6">
        <v>0.91</v>
      </c>
      <c r="H53" s="6">
        <v>70</v>
      </c>
      <c r="I53" s="6">
        <f>ROUND((R53/Q53),0)</f>
        <v>273</v>
      </c>
      <c r="J53" s="6">
        <v>1.4</v>
      </c>
      <c r="K53" s="6">
        <v>0.1</v>
      </c>
      <c r="L53" s="6">
        <v>0</v>
      </c>
      <c r="M53" s="1" t="s">
        <v>35</v>
      </c>
      <c r="N53" s="1">
        <v>2908</v>
      </c>
      <c r="O53" s="6">
        <f>ROUND((D53*E53*F53*G53*J53*K53/(1/3*H53)*(1-L53)),4)</f>
        <v>7.7100000000000002E-2</v>
      </c>
      <c r="P53" s="6">
        <f>ROUND((((D53*(3.6*E53*F53*G53/H53)*I53*J53*K53)*(1-L53)/1000)),4)</f>
        <v>2.52E-2</v>
      </c>
      <c r="Q53" s="27">
        <v>60</v>
      </c>
      <c r="R53" s="27">
        <f>27285*0.6</f>
        <v>16371</v>
      </c>
      <c r="S53" s="87"/>
      <c r="T53" s="87"/>
    </row>
    <row r="54" spans="1:20" ht="25.5" x14ac:dyDescent="0.25">
      <c r="A54" s="813"/>
      <c r="B54" s="786" t="s">
        <v>525</v>
      </c>
      <c r="C54" s="788" t="s">
        <v>281</v>
      </c>
      <c r="D54" s="6">
        <v>6.3</v>
      </c>
      <c r="E54" s="6">
        <v>1.83</v>
      </c>
      <c r="F54" s="6">
        <v>1</v>
      </c>
      <c r="G54" s="6">
        <v>0.84</v>
      </c>
      <c r="H54" s="6">
        <v>30</v>
      </c>
      <c r="I54" s="6">
        <f>ROUND((R54/Q54),0)</f>
        <v>252</v>
      </c>
      <c r="J54" s="6">
        <v>1.4</v>
      </c>
      <c r="K54" s="6">
        <v>0.1</v>
      </c>
      <c r="L54" s="6">
        <v>0</v>
      </c>
      <c r="M54" s="1" t="s">
        <v>35</v>
      </c>
      <c r="N54" s="1">
        <v>2908</v>
      </c>
      <c r="O54" s="6">
        <f>ROUND((D54*E54*F54*G54*J54*K54/(1/3*H54)*(1-L54)),4)</f>
        <v>0.1356</v>
      </c>
      <c r="P54" s="6">
        <f>ROUND((((D54*(3.6*E54*F54*G54/H54)*I54*J54*K54)*(1-L54)/1000)),4)</f>
        <v>4.1000000000000002E-2</v>
      </c>
      <c r="Q54" s="27">
        <v>30</v>
      </c>
      <c r="R54" s="91">
        <f>(18920)*0.4</f>
        <v>7568</v>
      </c>
      <c r="S54" s="88"/>
      <c r="T54" s="88"/>
    </row>
    <row r="55" spans="1:20" ht="25.5" x14ac:dyDescent="0.25">
      <c r="A55" s="814"/>
      <c r="B55" s="805"/>
      <c r="C55" s="805"/>
      <c r="D55" s="6">
        <v>6.3</v>
      </c>
      <c r="E55" s="6">
        <v>1.83</v>
      </c>
      <c r="F55" s="6">
        <v>1.4</v>
      </c>
      <c r="G55" s="6">
        <v>0.84</v>
      </c>
      <c r="H55" s="6">
        <v>70</v>
      </c>
      <c r="I55" s="6">
        <f>ROUND((R55/Q55),0)</f>
        <v>189</v>
      </c>
      <c r="J55" s="6">
        <v>1.4</v>
      </c>
      <c r="K55" s="6">
        <v>0.1</v>
      </c>
      <c r="L55" s="6">
        <v>0</v>
      </c>
      <c r="M55" s="1" t="s">
        <v>35</v>
      </c>
      <c r="N55" s="1">
        <v>2908</v>
      </c>
      <c r="O55" s="6">
        <f>ROUND((D55*E55*F55*G55*J55*K55/(1/3*H55)*(1-L55)),4)</f>
        <v>8.1299999999999997E-2</v>
      </c>
      <c r="P55" s="6">
        <f>ROUND((((D55*(3.6*E55*F55*G55/H55)*I55*J55*K55)*(1-L55)/1000)),4)</f>
        <v>1.84E-2</v>
      </c>
      <c r="Q55" s="27">
        <v>60</v>
      </c>
      <c r="R55" s="91">
        <f>(18920)*0.6</f>
        <v>11352</v>
      </c>
      <c r="S55" s="88"/>
      <c r="T55" s="88"/>
    </row>
    <row r="56" spans="1:20" ht="25.5" x14ac:dyDescent="0.25">
      <c r="A56" s="806" t="s">
        <v>487</v>
      </c>
      <c r="B56" s="807"/>
      <c r="C56" s="807"/>
      <c r="D56" s="807"/>
      <c r="E56" s="807"/>
      <c r="F56" s="807"/>
      <c r="G56" s="807"/>
      <c r="H56" s="807"/>
      <c r="I56" s="807"/>
      <c r="J56" s="807"/>
      <c r="K56" s="807"/>
      <c r="L56" s="808"/>
      <c r="M56" s="7" t="s">
        <v>35</v>
      </c>
      <c r="N56" s="7">
        <v>2908</v>
      </c>
      <c r="O56" s="8">
        <f>O54+O55+O52+O53</f>
        <v>0.42239999999999994</v>
      </c>
      <c r="P56" s="8">
        <f>P54+P55+P52+P53</f>
        <v>0.14069999999999999</v>
      </c>
      <c r="Q56" s="623">
        <f>O56</f>
        <v>0.42239999999999994</v>
      </c>
      <c r="R56" s="623">
        <f>P56</f>
        <v>0.14069999999999999</v>
      </c>
      <c r="S56" s="88"/>
      <c r="T56" s="88"/>
    </row>
    <row r="57" spans="1:20" x14ac:dyDescent="0.25">
      <c r="A57" s="767" t="s">
        <v>112</v>
      </c>
      <c r="B57" s="800"/>
      <c r="C57" s="800"/>
      <c r="D57" s="800"/>
      <c r="E57" s="800"/>
      <c r="F57" s="800"/>
      <c r="G57" s="800"/>
      <c r="H57" s="800"/>
      <c r="I57" s="800"/>
      <c r="J57" s="800"/>
      <c r="K57" s="800"/>
      <c r="L57" s="800"/>
      <c r="M57" s="800"/>
      <c r="N57" s="800"/>
      <c r="O57" s="800"/>
      <c r="P57" s="801"/>
    </row>
    <row r="58" spans="1:20" x14ac:dyDescent="0.25">
      <c r="A58" s="767" t="s">
        <v>113</v>
      </c>
      <c r="B58" s="800"/>
      <c r="C58" s="800"/>
      <c r="D58" s="800"/>
      <c r="E58" s="800"/>
      <c r="F58" s="800"/>
      <c r="G58" s="800"/>
      <c r="H58" s="800"/>
      <c r="I58" s="800"/>
      <c r="J58" s="800"/>
      <c r="K58" s="800"/>
      <c r="L58" s="800"/>
      <c r="M58" s="800"/>
      <c r="N58" s="800"/>
      <c r="O58" s="800"/>
      <c r="P58" s="801"/>
    </row>
    <row r="59" spans="1:20" ht="25.5" x14ac:dyDescent="0.25">
      <c r="A59" s="812">
        <v>800402</v>
      </c>
      <c r="B59" s="786" t="s">
        <v>67</v>
      </c>
      <c r="C59" s="788" t="s">
        <v>18</v>
      </c>
      <c r="D59" s="6">
        <v>6.3</v>
      </c>
      <c r="E59" s="6">
        <v>1.6</v>
      </c>
      <c r="F59" s="6">
        <v>1</v>
      </c>
      <c r="G59" s="6">
        <v>0.91</v>
      </c>
      <c r="H59" s="6">
        <v>30</v>
      </c>
      <c r="I59" s="6">
        <f>ROUND((R59/Q59),0)</f>
        <v>573</v>
      </c>
      <c r="J59" s="6">
        <v>1.4</v>
      </c>
      <c r="K59" s="6">
        <v>0.1</v>
      </c>
      <c r="L59" s="6">
        <v>0</v>
      </c>
      <c r="M59" s="1" t="s">
        <v>35</v>
      </c>
      <c r="N59" s="1">
        <v>2908</v>
      </c>
      <c r="O59" s="6">
        <f>ROUND((D59*E59*F59*G59*J59*K59/(1/3*H59)*(1-L59)),4)</f>
        <v>0.12839999999999999</v>
      </c>
      <c r="P59" s="6">
        <f>ROUND((((D59*(3.6*E59*F59*G59/H59)*I59*J59*K59)*(1-L59)/1000)),4)</f>
        <v>8.8300000000000003E-2</v>
      </c>
      <c r="Q59" s="91">
        <v>20</v>
      </c>
      <c r="R59" s="91">
        <f>28650*0.4</f>
        <v>11460</v>
      </c>
      <c r="S59" s="87"/>
      <c r="T59" s="87"/>
    </row>
    <row r="60" spans="1:20" ht="25.5" x14ac:dyDescent="0.25">
      <c r="A60" s="813"/>
      <c r="B60" s="805"/>
      <c r="C60" s="805"/>
      <c r="D60" s="6">
        <v>6.3</v>
      </c>
      <c r="E60" s="6">
        <v>1.6</v>
      </c>
      <c r="F60" s="6">
        <v>1.4</v>
      </c>
      <c r="G60" s="6">
        <v>0.91</v>
      </c>
      <c r="H60" s="6">
        <v>70</v>
      </c>
      <c r="I60" s="6">
        <f>ROUND((R60/Q60),0)</f>
        <v>860</v>
      </c>
      <c r="J60" s="6">
        <v>1.4</v>
      </c>
      <c r="K60" s="6">
        <v>0.1</v>
      </c>
      <c r="L60" s="6">
        <v>0</v>
      </c>
      <c r="M60" s="1" t="s">
        <v>35</v>
      </c>
      <c r="N60" s="1">
        <v>2908</v>
      </c>
      <c r="O60" s="6">
        <f>ROUND((D60*E60*F60*G60*J60*K60/(1/3*H60)*(1-L60)),4)</f>
        <v>7.7100000000000002E-2</v>
      </c>
      <c r="P60" s="6">
        <f>ROUND((((D60*(3.6*E60*F60*G60/H60)*I60*J60*K60)*(1-L60)/1000)),4)</f>
        <v>7.9500000000000001E-2</v>
      </c>
      <c r="Q60" s="91">
        <v>20</v>
      </c>
      <c r="R60" s="91">
        <f>28650*0.6</f>
        <v>17190</v>
      </c>
      <c r="S60" s="87"/>
      <c r="T60" s="87"/>
    </row>
    <row r="61" spans="1:20" ht="25.5" x14ac:dyDescent="0.25">
      <c r="A61" s="813"/>
      <c r="B61" s="786" t="s">
        <v>525</v>
      </c>
      <c r="C61" s="788" t="s">
        <v>281</v>
      </c>
      <c r="D61" s="6">
        <v>6.3</v>
      </c>
      <c r="E61" s="6">
        <v>1.83</v>
      </c>
      <c r="F61" s="6">
        <v>1</v>
      </c>
      <c r="G61" s="6">
        <v>0.84</v>
      </c>
      <c r="H61" s="6">
        <v>30</v>
      </c>
      <c r="I61" s="6">
        <f>ROUND((R61/Q61),0)</f>
        <v>397</v>
      </c>
      <c r="J61" s="6">
        <v>1.4</v>
      </c>
      <c r="K61" s="6">
        <v>0.1</v>
      </c>
      <c r="L61" s="6">
        <v>0</v>
      </c>
      <c r="M61" s="1" t="s">
        <v>35</v>
      </c>
      <c r="N61" s="1">
        <v>2908</v>
      </c>
      <c r="O61" s="6">
        <f>ROUND((D61*E61*F61*G61*J61*K61/(1/3*H61)*(1-L61)),4)</f>
        <v>0.1356</v>
      </c>
      <c r="P61" s="6">
        <f>ROUND((((D61*(3.6*E61*F61*G61/H61)*I61*J61*K61)*(1-L61)/1000)),4)</f>
        <v>6.4600000000000005E-2</v>
      </c>
      <c r="Q61" s="27">
        <v>20</v>
      </c>
      <c r="R61" s="27">
        <f>(19855)*0.4</f>
        <v>7942</v>
      </c>
      <c r="S61" s="88"/>
      <c r="T61" s="88"/>
    </row>
    <row r="62" spans="1:20" ht="25.5" x14ac:dyDescent="0.25">
      <c r="A62" s="814"/>
      <c r="B62" s="805"/>
      <c r="C62" s="805"/>
      <c r="D62" s="6">
        <v>6.3</v>
      </c>
      <c r="E62" s="6">
        <v>1.83</v>
      </c>
      <c r="F62" s="6">
        <v>1.4</v>
      </c>
      <c r="G62" s="6">
        <v>0.84</v>
      </c>
      <c r="H62" s="6">
        <v>70</v>
      </c>
      <c r="I62" s="6">
        <f>ROUND((R62/Q62),0)</f>
        <v>596</v>
      </c>
      <c r="J62" s="6">
        <v>1.4</v>
      </c>
      <c r="K62" s="6">
        <v>0.1</v>
      </c>
      <c r="L62" s="6">
        <v>0</v>
      </c>
      <c r="M62" s="1" t="s">
        <v>35</v>
      </c>
      <c r="N62" s="1">
        <v>2908</v>
      </c>
      <c r="O62" s="6">
        <f>ROUND((D62*E62*F62*G62*J62*K62/(1/3*H62)*(1-L62)),4)</f>
        <v>8.1299999999999997E-2</v>
      </c>
      <c r="P62" s="6">
        <f>ROUND((((D62*(3.6*E62*F62*G62/H62)*I62*J62*K62)*(1-L62)/1000)),4)</f>
        <v>5.8200000000000002E-2</v>
      </c>
      <c r="Q62" s="27">
        <v>20</v>
      </c>
      <c r="R62" s="27">
        <f>(19855)*0.6</f>
        <v>11913</v>
      </c>
      <c r="S62" s="88"/>
      <c r="T62" s="88"/>
    </row>
    <row r="63" spans="1:20" ht="25.5" x14ac:dyDescent="0.25">
      <c r="A63" s="806" t="s">
        <v>487</v>
      </c>
      <c r="B63" s="807"/>
      <c r="C63" s="807"/>
      <c r="D63" s="807"/>
      <c r="E63" s="807"/>
      <c r="F63" s="807"/>
      <c r="G63" s="807"/>
      <c r="H63" s="807"/>
      <c r="I63" s="807"/>
      <c r="J63" s="807"/>
      <c r="K63" s="807"/>
      <c r="L63" s="808"/>
      <c r="M63" s="7" t="s">
        <v>35</v>
      </c>
      <c r="N63" s="7">
        <v>2908</v>
      </c>
      <c r="O63" s="8">
        <f>O61+O62+O59+O60</f>
        <v>0.42239999999999994</v>
      </c>
      <c r="P63" s="8">
        <f>P61+P62+P59+P60</f>
        <v>0.29060000000000002</v>
      </c>
      <c r="Q63" s="623">
        <f>O63</f>
        <v>0.42239999999999994</v>
      </c>
      <c r="R63" s="623">
        <f>P63</f>
        <v>0.29060000000000002</v>
      </c>
      <c r="S63" s="88"/>
      <c r="T63" s="88"/>
    </row>
    <row r="64" spans="1:20" x14ac:dyDescent="0.25">
      <c r="A64" s="781" t="s">
        <v>119</v>
      </c>
      <c r="B64" s="809"/>
      <c r="C64" s="809"/>
      <c r="D64" s="809"/>
      <c r="E64" s="809"/>
      <c r="F64" s="809"/>
      <c r="G64" s="809"/>
      <c r="H64" s="809"/>
      <c r="I64" s="809"/>
      <c r="J64" s="809"/>
      <c r="K64" s="809"/>
      <c r="L64" s="809"/>
      <c r="M64" s="809"/>
      <c r="N64" s="809"/>
      <c r="O64" s="809"/>
      <c r="P64" s="810"/>
    </row>
    <row r="65" spans="1:20" x14ac:dyDescent="0.25">
      <c r="A65" s="781" t="s">
        <v>120</v>
      </c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10"/>
    </row>
    <row r="66" spans="1:20" ht="25.5" x14ac:dyDescent="0.25">
      <c r="A66" s="802">
        <v>800402</v>
      </c>
      <c r="B66" s="772" t="s">
        <v>67</v>
      </c>
      <c r="C66" s="774" t="s">
        <v>18</v>
      </c>
      <c r="D66" s="34">
        <v>6.3</v>
      </c>
      <c r="E66" s="34">
        <v>1.6</v>
      </c>
      <c r="F66" s="34">
        <v>1</v>
      </c>
      <c r="G66" s="34">
        <v>0.91</v>
      </c>
      <c r="H66" s="34">
        <v>30</v>
      </c>
      <c r="I66" s="34">
        <f>ROUND((R66/Q66),0)</f>
        <v>737</v>
      </c>
      <c r="J66" s="34">
        <v>1.4</v>
      </c>
      <c r="K66" s="34">
        <v>0.1</v>
      </c>
      <c r="L66" s="34">
        <v>0</v>
      </c>
      <c r="M66" s="28" t="s">
        <v>35</v>
      </c>
      <c r="N66" s="28">
        <v>2908</v>
      </c>
      <c r="O66" s="34">
        <f>ROUND((D66*E66*F66*G66*J66*K66/(1/3*H66)*(1-L66)),4)</f>
        <v>0.12839999999999999</v>
      </c>
      <c r="P66" s="34">
        <f>ROUND((((D66*(3.6*E66*F66*G66/H66)*I66*J66*K66)*(1-L66)/1000)),4)</f>
        <v>0.11360000000000001</v>
      </c>
      <c r="Q66" s="27">
        <v>20</v>
      </c>
      <c r="R66" s="27">
        <f>36870*0.4</f>
        <v>14748</v>
      </c>
      <c r="S66" s="87"/>
      <c r="T66" s="87"/>
    </row>
    <row r="67" spans="1:20" ht="25.5" x14ac:dyDescent="0.25">
      <c r="A67" s="811"/>
      <c r="B67" s="804"/>
      <c r="C67" s="804"/>
      <c r="D67" s="34">
        <v>6.3</v>
      </c>
      <c r="E67" s="34">
        <v>1.6</v>
      </c>
      <c r="F67" s="34">
        <v>1.4</v>
      </c>
      <c r="G67" s="34">
        <v>0.91</v>
      </c>
      <c r="H67" s="34">
        <v>70</v>
      </c>
      <c r="I67" s="34">
        <f>ROUND((R67/Q67),0)</f>
        <v>737</v>
      </c>
      <c r="J67" s="34">
        <v>1.4</v>
      </c>
      <c r="K67" s="34">
        <v>0.1</v>
      </c>
      <c r="L67" s="34">
        <v>0</v>
      </c>
      <c r="M67" s="28" t="s">
        <v>35</v>
      </c>
      <c r="N67" s="28">
        <v>2908</v>
      </c>
      <c r="O67" s="34">
        <f>ROUND((D67*E67*F67*G67*J67*K67/(1/3*H67)*(1-L67)),4)</f>
        <v>7.7100000000000002E-2</v>
      </c>
      <c r="P67" s="34">
        <f>ROUND((((D67*(3.6*E67*F67*G67/H67)*I67*J67*K67)*(1-L67)/1000)),4)</f>
        <v>6.8099999999999994E-2</v>
      </c>
      <c r="Q67" s="27">
        <v>30</v>
      </c>
      <c r="R67" s="27">
        <f>36870*0.6</f>
        <v>22122</v>
      </c>
      <c r="S67" s="87"/>
      <c r="T67" s="87"/>
    </row>
    <row r="68" spans="1:20" ht="25.5" x14ac:dyDescent="0.25">
      <c r="A68" s="811"/>
      <c r="B68" s="772" t="s">
        <v>525</v>
      </c>
      <c r="C68" s="774" t="s">
        <v>281</v>
      </c>
      <c r="D68" s="34">
        <v>6.3</v>
      </c>
      <c r="E68" s="34">
        <v>1.83</v>
      </c>
      <c r="F68" s="34">
        <v>1</v>
      </c>
      <c r="G68" s="34">
        <v>0.84</v>
      </c>
      <c r="H68" s="34">
        <v>30</v>
      </c>
      <c r="I68" s="34">
        <f>ROUND((R68/Q68),0)</f>
        <v>422</v>
      </c>
      <c r="J68" s="34">
        <v>1.4</v>
      </c>
      <c r="K68" s="34">
        <v>0.1</v>
      </c>
      <c r="L68" s="34">
        <v>0</v>
      </c>
      <c r="M68" s="28" t="s">
        <v>35</v>
      </c>
      <c r="N68" s="28">
        <v>2908</v>
      </c>
      <c r="O68" s="34">
        <f>ROUND((D68*E68*F68*G68*J68*K68/(1/3*H68)*(1-L68)),4)</f>
        <v>0.1356</v>
      </c>
      <c r="P68" s="34">
        <f>ROUND((((D68*(3.6*E68*F68*G68/H68)*I68*J68*K68)*(1-L68)/1000)),4)</f>
        <v>6.8699999999999997E-2</v>
      </c>
      <c r="Q68" s="27">
        <v>20</v>
      </c>
      <c r="R68" s="27">
        <f>(21120)*0.4</f>
        <v>8448</v>
      </c>
      <c r="S68" s="88"/>
      <c r="T68" s="88"/>
    </row>
    <row r="69" spans="1:20" ht="25.5" x14ac:dyDescent="0.25">
      <c r="A69" s="803"/>
      <c r="B69" s="804"/>
      <c r="C69" s="804"/>
      <c r="D69" s="34">
        <v>6.3</v>
      </c>
      <c r="E69" s="34">
        <v>1.83</v>
      </c>
      <c r="F69" s="34">
        <v>1.4</v>
      </c>
      <c r="G69" s="34">
        <v>0.84</v>
      </c>
      <c r="H69" s="34">
        <v>70</v>
      </c>
      <c r="I69" s="34">
        <f>ROUND((R69/Q69),0)</f>
        <v>634</v>
      </c>
      <c r="J69" s="34">
        <v>1.4</v>
      </c>
      <c r="K69" s="34">
        <v>0.1</v>
      </c>
      <c r="L69" s="34">
        <v>0</v>
      </c>
      <c r="M69" s="28" t="s">
        <v>35</v>
      </c>
      <c r="N69" s="28">
        <v>2908</v>
      </c>
      <c r="O69" s="34">
        <f>ROUND((D69*E69*F69*G69*J69*K69/(1/3*H69)*(1-L69)),4)</f>
        <v>8.1299999999999997E-2</v>
      </c>
      <c r="P69" s="34">
        <f>ROUND((((D69*(3.6*E69*F69*G69/H69)*I69*J69*K69)*(1-L69)/1000)),4)</f>
        <v>6.1899999999999997E-2</v>
      </c>
      <c r="Q69" s="27">
        <v>20</v>
      </c>
      <c r="R69" s="27">
        <f>(21120)*0.6</f>
        <v>12672</v>
      </c>
      <c r="S69" s="88"/>
      <c r="T69" s="88"/>
    </row>
    <row r="70" spans="1:20" ht="25.5" x14ac:dyDescent="0.25">
      <c r="A70" s="797" t="s">
        <v>487</v>
      </c>
      <c r="B70" s="798"/>
      <c r="C70" s="798"/>
      <c r="D70" s="798"/>
      <c r="E70" s="798"/>
      <c r="F70" s="798"/>
      <c r="G70" s="798"/>
      <c r="H70" s="798"/>
      <c r="I70" s="798"/>
      <c r="J70" s="798"/>
      <c r="K70" s="798"/>
      <c r="L70" s="799"/>
      <c r="M70" s="29" t="s">
        <v>35</v>
      </c>
      <c r="N70" s="29">
        <v>2908</v>
      </c>
      <c r="O70" s="36">
        <f>O68+O69+O66+O67</f>
        <v>0.42239999999999994</v>
      </c>
      <c r="P70" s="36">
        <f>P68+P69+P66+P67</f>
        <v>0.31230000000000002</v>
      </c>
      <c r="Q70" s="623">
        <f>O70</f>
        <v>0.42239999999999994</v>
      </c>
      <c r="R70" s="623">
        <f>P70</f>
        <v>0.31230000000000002</v>
      </c>
      <c r="S70" s="88"/>
      <c r="T70" s="88"/>
    </row>
  </sheetData>
  <mergeCells count="71">
    <mergeCell ref="A17:O17"/>
    <mergeCell ref="A18:O18"/>
    <mergeCell ref="A20:O20"/>
    <mergeCell ref="A1:O1"/>
    <mergeCell ref="A3:O3"/>
    <mergeCell ref="A4:O4"/>
    <mergeCell ref="A6:P6"/>
    <mergeCell ref="A7:P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63:L63"/>
    <mergeCell ref="A64:P64"/>
    <mergeCell ref="A65:P65"/>
    <mergeCell ref="A57:P57"/>
    <mergeCell ref="A58:P58"/>
    <mergeCell ref="B59:B60"/>
    <mergeCell ref="C59:C60"/>
    <mergeCell ref="A59:A62"/>
    <mergeCell ref="B61:B62"/>
    <mergeCell ref="C61:C62"/>
    <mergeCell ref="A38:L38"/>
    <mergeCell ref="A33:P33"/>
    <mergeCell ref="B34:B35"/>
    <mergeCell ref="A32:L32"/>
    <mergeCell ref="A34:A37"/>
    <mergeCell ref="B66:B67"/>
    <mergeCell ref="C66:C67"/>
    <mergeCell ref="A66:A69"/>
    <mergeCell ref="B68:B69"/>
    <mergeCell ref="C68:C69"/>
    <mergeCell ref="A22:P22"/>
    <mergeCell ref="A26:P26"/>
    <mergeCell ref="A27:P27"/>
    <mergeCell ref="B30:B31"/>
    <mergeCell ref="C30:C31"/>
    <mergeCell ref="A28:A31"/>
    <mergeCell ref="A25:P25"/>
    <mergeCell ref="B28:B29"/>
    <mergeCell ref="C28:C29"/>
    <mergeCell ref="B36:B37"/>
    <mergeCell ref="C36:C37"/>
    <mergeCell ref="C34:C35"/>
    <mergeCell ref="A45:A48"/>
    <mergeCell ref="A52:A55"/>
    <mergeCell ref="A43:P43"/>
    <mergeCell ref="A44:P44"/>
    <mergeCell ref="B45:B46"/>
    <mergeCell ref="C45:C46"/>
    <mergeCell ref="A70:L70"/>
    <mergeCell ref="A39:P39"/>
    <mergeCell ref="A40:A41"/>
    <mergeCell ref="B40:B41"/>
    <mergeCell ref="C40:C41"/>
    <mergeCell ref="A42:L42"/>
    <mergeCell ref="B54:B55"/>
    <mergeCell ref="C54:C55"/>
    <mergeCell ref="A56:L56"/>
    <mergeCell ref="A50:P50"/>
    <mergeCell ref="A51:P51"/>
    <mergeCell ref="B52:B53"/>
    <mergeCell ref="C52:C53"/>
    <mergeCell ref="B47:B48"/>
    <mergeCell ref="C47:C48"/>
    <mergeCell ref="A49:L49"/>
  </mergeCells>
  <pageMargins left="0.31496062992125984" right="0.31496062992125984" top="0.78740157480314965" bottom="0.39370078740157483" header="0.31496062992125984" footer="0.19685039370078741"/>
  <pageSetup paperSize="9" firstPageNumber="150" orientation="landscape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8"/>
  <sheetViews>
    <sheetView view="pageBreakPreview" topLeftCell="A32" zoomScaleNormal="100" zoomScaleSheetLayoutView="100" workbookViewId="0">
      <selection activeCell="B203" sqref="B203:R203"/>
    </sheetView>
  </sheetViews>
  <sheetFormatPr defaultRowHeight="15" x14ac:dyDescent="0.25"/>
  <cols>
    <col min="1" max="1" width="7.42578125" style="550" customWidth="1"/>
    <col min="2" max="2" width="20.5703125" style="91" customWidth="1"/>
    <col min="3" max="3" width="10.140625" style="91" customWidth="1"/>
    <col min="4" max="4" width="5.140625" style="91" customWidth="1"/>
    <col min="5" max="6" width="5.5703125" style="91" customWidth="1"/>
    <col min="7" max="7" width="5.28515625" style="91" customWidth="1"/>
    <col min="8" max="8" width="5.42578125" style="91" customWidth="1"/>
    <col min="9" max="9" width="5" style="91" customWidth="1"/>
    <col min="10" max="10" width="4.7109375" style="91" customWidth="1"/>
    <col min="11" max="11" width="4.85546875" style="91" customWidth="1"/>
    <col min="12" max="12" width="6.28515625" style="91" customWidth="1"/>
    <col min="13" max="13" width="7.7109375" style="91" customWidth="1"/>
    <col min="14" max="14" width="14.85546875" style="91" customWidth="1"/>
    <col min="15" max="15" width="6.42578125" style="91" customWidth="1"/>
    <col min="16" max="16" width="5.7109375" style="91" customWidth="1"/>
    <col min="17" max="17" width="9" style="91" customWidth="1"/>
    <col min="18" max="18" width="10.5703125" style="91" customWidth="1"/>
    <col min="19" max="19" width="9.140625" style="641"/>
    <col min="20" max="20" width="13.5703125" style="641" customWidth="1"/>
    <col min="21" max="21" width="8.42578125" style="91" customWidth="1"/>
    <col min="22" max="25" width="9.140625" style="91"/>
    <col min="26" max="16384" width="9.140625" style="86"/>
  </cols>
  <sheetData>
    <row r="1" spans="1:24" s="113" customFormat="1" ht="18.75" x14ac:dyDescent="0.25">
      <c r="A1" s="735" t="s">
        <v>346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5"/>
      <c r="O1" s="735"/>
      <c r="S1" s="640"/>
      <c r="T1" s="640"/>
      <c r="U1" s="633"/>
      <c r="V1" s="633"/>
      <c r="W1" s="633"/>
      <c r="X1" s="633"/>
    </row>
    <row r="2" spans="1:24" s="113" customFormat="1" ht="12.75" customHeight="1" x14ac:dyDescent="0.25">
      <c r="A2" s="502"/>
      <c r="S2" s="640"/>
      <c r="T2" s="640"/>
      <c r="U2" s="633"/>
      <c r="V2" s="633"/>
      <c r="W2" s="633"/>
      <c r="X2" s="633"/>
    </row>
    <row r="3" spans="1:24" s="114" customFormat="1" ht="15.75" x14ac:dyDescent="0.25">
      <c r="A3" s="851" t="s">
        <v>318</v>
      </c>
      <c r="B3" s="851"/>
      <c r="C3" s="851"/>
      <c r="D3" s="851"/>
      <c r="E3" s="851"/>
      <c r="F3" s="851"/>
      <c r="G3" s="851"/>
      <c r="H3" s="851"/>
      <c r="I3" s="851"/>
      <c r="J3" s="851"/>
      <c r="K3" s="851"/>
      <c r="L3" s="851"/>
      <c r="M3" s="851"/>
      <c r="N3" s="851"/>
      <c r="O3" s="851"/>
      <c r="S3" s="640"/>
      <c r="T3" s="640"/>
      <c r="U3" s="633"/>
      <c r="V3" s="633"/>
      <c r="W3" s="633"/>
      <c r="X3" s="633"/>
    </row>
    <row r="4" spans="1:24" s="114" customFormat="1" ht="15.75" x14ac:dyDescent="0.25">
      <c r="A4" s="818" t="s">
        <v>319</v>
      </c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S4" s="640"/>
      <c r="T4" s="640"/>
      <c r="U4" s="633"/>
      <c r="V4" s="633"/>
      <c r="W4" s="633"/>
      <c r="X4" s="633"/>
    </row>
    <row r="5" spans="1:24" s="113" customFormat="1" ht="13.5" customHeight="1" x14ac:dyDescent="0.25">
      <c r="A5" s="502"/>
      <c r="S5" s="640"/>
      <c r="T5" s="640"/>
      <c r="U5" s="633"/>
      <c r="V5" s="633"/>
      <c r="W5" s="633"/>
      <c r="X5" s="633"/>
    </row>
    <row r="6" spans="1:24" s="113" customFormat="1" ht="28.5" customHeight="1" x14ac:dyDescent="0.25">
      <c r="A6" s="736" t="s">
        <v>347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S6" s="640"/>
      <c r="T6" s="640"/>
      <c r="U6" s="633"/>
      <c r="V6" s="633"/>
      <c r="W6" s="633"/>
      <c r="X6" s="633"/>
    </row>
    <row r="7" spans="1:24" s="113" customFormat="1" ht="21.75" customHeight="1" x14ac:dyDescent="0.25">
      <c r="A7" s="735" t="s">
        <v>516</v>
      </c>
      <c r="B7" s="735"/>
      <c r="C7" s="735"/>
      <c r="D7" s="735"/>
      <c r="E7" s="735"/>
      <c r="F7" s="735"/>
      <c r="G7" s="735"/>
      <c r="H7" s="735"/>
      <c r="I7" s="735"/>
      <c r="J7" s="735"/>
      <c r="K7" s="735"/>
      <c r="L7" s="735"/>
      <c r="M7" s="735"/>
      <c r="N7" s="735"/>
      <c r="O7" s="735"/>
      <c r="S7" s="640"/>
      <c r="T7" s="640"/>
      <c r="U7" s="633"/>
      <c r="V7" s="633"/>
      <c r="W7" s="633"/>
      <c r="X7" s="633"/>
    </row>
    <row r="8" spans="1:24" s="113" customFormat="1" ht="27.75" customHeight="1" x14ac:dyDescent="0.25">
      <c r="A8" s="736" t="s">
        <v>358</v>
      </c>
      <c r="B8" s="736"/>
      <c r="C8" s="736"/>
      <c r="D8" s="736"/>
      <c r="E8" s="736"/>
      <c r="F8" s="736"/>
      <c r="G8" s="736"/>
      <c r="H8" s="736"/>
      <c r="I8" s="736"/>
      <c r="J8" s="736"/>
      <c r="K8" s="736"/>
      <c r="L8" s="736"/>
      <c r="M8" s="736"/>
      <c r="N8" s="736"/>
      <c r="O8" s="736"/>
      <c r="S8" s="640"/>
      <c r="T8" s="640"/>
      <c r="U8" s="633"/>
      <c r="V8" s="633"/>
      <c r="W8" s="633"/>
      <c r="X8" s="633"/>
    </row>
    <row r="9" spans="1:24" s="113" customFormat="1" ht="21" customHeight="1" x14ac:dyDescent="0.25">
      <c r="A9" s="735" t="s">
        <v>357</v>
      </c>
      <c r="B9" s="735"/>
      <c r="C9" s="735"/>
      <c r="D9" s="735"/>
      <c r="E9" s="735"/>
      <c r="F9" s="735"/>
      <c r="G9" s="735"/>
      <c r="H9" s="735"/>
      <c r="I9" s="735"/>
      <c r="J9" s="735"/>
      <c r="K9" s="735"/>
      <c r="L9" s="735"/>
      <c r="M9" s="735"/>
      <c r="N9" s="735"/>
      <c r="O9" s="735"/>
      <c r="S9" s="640"/>
      <c r="T9" s="640"/>
      <c r="U9" s="633"/>
      <c r="V9" s="633"/>
      <c r="W9" s="633"/>
      <c r="X9" s="633"/>
    </row>
    <row r="10" spans="1:24" s="113" customFormat="1" ht="15.75" x14ac:dyDescent="0.25">
      <c r="A10" s="818" t="s">
        <v>339</v>
      </c>
      <c r="B10" s="818"/>
      <c r="C10" s="818"/>
      <c r="D10" s="818"/>
      <c r="E10" s="818"/>
      <c r="F10" s="818"/>
      <c r="G10" s="818"/>
      <c r="H10" s="818"/>
      <c r="I10" s="818"/>
      <c r="J10" s="818"/>
      <c r="K10" s="818"/>
      <c r="L10" s="818"/>
      <c r="M10" s="818"/>
      <c r="N10" s="818"/>
      <c r="O10" s="818"/>
      <c r="S10" s="640"/>
      <c r="T10" s="640"/>
      <c r="U10" s="633"/>
      <c r="V10" s="633"/>
      <c r="W10" s="633"/>
      <c r="X10" s="633"/>
    </row>
    <row r="11" spans="1:24" s="113" customFormat="1" ht="35.1" customHeight="1" x14ac:dyDescent="0.25">
      <c r="A11" s="818" t="s">
        <v>350</v>
      </c>
      <c r="B11" s="818"/>
      <c r="C11" s="818"/>
      <c r="D11" s="818"/>
      <c r="E11" s="818"/>
      <c r="F11" s="818"/>
      <c r="G11" s="818"/>
      <c r="H11" s="818"/>
      <c r="I11" s="818"/>
      <c r="J11" s="818"/>
      <c r="K11" s="818"/>
      <c r="L11" s="818"/>
      <c r="M11" s="818"/>
      <c r="N11" s="818"/>
      <c r="O11" s="818"/>
      <c r="P11" s="818"/>
      <c r="Q11" s="818"/>
      <c r="R11" s="818"/>
      <c r="S11" s="640"/>
      <c r="T11" s="640"/>
      <c r="U11" s="633"/>
      <c r="V11" s="633"/>
      <c r="W11" s="633"/>
      <c r="X11" s="633"/>
    </row>
    <row r="12" spans="1:24" s="113" customFormat="1" ht="15.75" x14ac:dyDescent="0.25">
      <c r="A12" s="818" t="s">
        <v>351</v>
      </c>
      <c r="B12" s="818"/>
      <c r="C12" s="818"/>
      <c r="D12" s="818"/>
      <c r="E12" s="818"/>
      <c r="F12" s="818"/>
      <c r="G12" s="818"/>
      <c r="H12" s="818"/>
      <c r="I12" s="818"/>
      <c r="J12" s="818"/>
      <c r="K12" s="818"/>
      <c r="L12" s="818"/>
      <c r="M12" s="818"/>
      <c r="N12" s="818"/>
      <c r="O12" s="818"/>
      <c r="S12" s="640"/>
      <c r="T12" s="640"/>
      <c r="U12" s="633"/>
      <c r="V12" s="633"/>
      <c r="W12" s="633"/>
      <c r="X12" s="633"/>
    </row>
    <row r="13" spans="1:24" s="113" customFormat="1" ht="15.75" x14ac:dyDescent="0.25">
      <c r="A13" s="818" t="s">
        <v>352</v>
      </c>
      <c r="B13" s="818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S13" s="640"/>
      <c r="T13" s="640"/>
      <c r="U13" s="633"/>
      <c r="V13" s="633"/>
      <c r="W13" s="633"/>
      <c r="X13" s="633"/>
    </row>
    <row r="14" spans="1:24" s="113" customFormat="1" ht="35.1" customHeight="1" x14ac:dyDescent="0.25">
      <c r="A14" s="818" t="s">
        <v>353</v>
      </c>
      <c r="B14" s="818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640"/>
      <c r="T14" s="640"/>
      <c r="U14" s="633"/>
      <c r="V14" s="633"/>
      <c r="W14" s="633"/>
      <c r="X14" s="633"/>
    </row>
    <row r="15" spans="1:24" s="113" customFormat="1" ht="15" customHeight="1" x14ac:dyDescent="0.25">
      <c r="A15" s="818" t="s">
        <v>354</v>
      </c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S15" s="640"/>
      <c r="T15" s="640"/>
      <c r="U15" s="633"/>
      <c r="V15" s="633"/>
      <c r="W15" s="633"/>
      <c r="X15" s="633"/>
    </row>
    <row r="16" spans="1:24" s="113" customFormat="1" ht="15" customHeight="1" x14ac:dyDescent="0.25">
      <c r="A16" s="818" t="s">
        <v>355</v>
      </c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S16" s="640"/>
      <c r="T16" s="640"/>
      <c r="U16" s="633"/>
      <c r="V16" s="633"/>
      <c r="W16" s="633"/>
      <c r="X16" s="633"/>
    </row>
    <row r="17" spans="1:24" s="113" customFormat="1" ht="15" customHeight="1" x14ac:dyDescent="0.25">
      <c r="A17" s="818" t="s">
        <v>356</v>
      </c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S17" s="640"/>
      <c r="T17" s="640"/>
      <c r="U17" s="633"/>
      <c r="V17" s="633"/>
      <c r="W17" s="633"/>
      <c r="X17" s="633"/>
    </row>
    <row r="18" spans="1:24" s="113" customFormat="1" ht="35.1" customHeight="1" x14ac:dyDescent="0.25">
      <c r="A18" s="818" t="s">
        <v>348</v>
      </c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S18" s="640"/>
      <c r="T18" s="640"/>
      <c r="U18" s="633"/>
      <c r="V18" s="633"/>
      <c r="W18" s="633"/>
      <c r="X18" s="633"/>
    </row>
    <row r="19" spans="1:24" s="113" customFormat="1" ht="15.75" x14ac:dyDescent="0.25">
      <c r="A19" s="818" t="s">
        <v>360</v>
      </c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S19" s="640"/>
      <c r="T19" s="640"/>
      <c r="U19" s="633"/>
      <c r="V19" s="633"/>
      <c r="W19" s="633"/>
      <c r="X19" s="633"/>
    </row>
    <row r="20" spans="1:24" s="113" customFormat="1" ht="12" customHeight="1" x14ac:dyDescent="0.25">
      <c r="A20" s="257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S20" s="640"/>
      <c r="T20" s="640"/>
      <c r="U20" s="633"/>
      <c r="V20" s="633"/>
      <c r="W20" s="633"/>
      <c r="X20" s="633"/>
    </row>
    <row r="21" spans="1:24" s="113" customFormat="1" ht="18.75" x14ac:dyDescent="0.25">
      <c r="A21" s="736" t="s">
        <v>361</v>
      </c>
      <c r="B21" s="736"/>
      <c r="C21" s="736"/>
      <c r="D21" s="736"/>
      <c r="E21" s="736"/>
      <c r="F21" s="736"/>
      <c r="G21" s="736"/>
      <c r="H21" s="736"/>
      <c r="I21" s="736"/>
      <c r="J21" s="736"/>
      <c r="K21" s="736"/>
      <c r="L21" s="736"/>
      <c r="M21" s="736"/>
      <c r="N21" s="736"/>
      <c r="O21" s="736"/>
      <c r="S21" s="640"/>
      <c r="T21" s="640"/>
      <c r="U21" s="633"/>
      <c r="V21" s="633"/>
      <c r="W21" s="633"/>
      <c r="X21" s="633"/>
    </row>
    <row r="22" spans="1:24" s="113" customFormat="1" ht="18.75" x14ac:dyDescent="0.25">
      <c r="A22" s="502"/>
      <c r="S22" s="640"/>
      <c r="T22" s="640"/>
      <c r="U22" s="633"/>
      <c r="V22" s="633"/>
      <c r="W22" s="633"/>
      <c r="X22" s="633"/>
    </row>
    <row r="23" spans="1:24" s="113" customFormat="1" x14ac:dyDescent="0.25">
      <c r="A23" s="635"/>
      <c r="S23" s="640"/>
      <c r="T23" s="640"/>
      <c r="U23" s="633"/>
      <c r="V23" s="633"/>
      <c r="W23" s="633"/>
      <c r="X23" s="633"/>
    </row>
    <row r="24" spans="1:24" s="113" customFormat="1" x14ac:dyDescent="0.25">
      <c r="A24" s="636"/>
      <c r="S24" s="640"/>
      <c r="T24" s="640"/>
      <c r="U24" s="633"/>
      <c r="V24" s="633"/>
      <c r="W24" s="633"/>
      <c r="X24" s="633"/>
    </row>
    <row r="25" spans="1:24" s="113" customFormat="1" x14ac:dyDescent="0.25">
      <c r="A25" s="636"/>
      <c r="S25" s="640"/>
      <c r="T25" s="640"/>
      <c r="U25" s="633"/>
      <c r="V25" s="633"/>
      <c r="W25" s="633"/>
      <c r="X25" s="633"/>
    </row>
    <row r="26" spans="1:24" s="113" customFormat="1" x14ac:dyDescent="0.25">
      <c r="A26" s="636"/>
      <c r="S26" s="640"/>
      <c r="T26" s="640"/>
      <c r="U26" s="633"/>
      <c r="V26" s="633"/>
      <c r="W26" s="633"/>
      <c r="X26" s="633"/>
    </row>
    <row r="27" spans="1:24" s="113" customFormat="1" x14ac:dyDescent="0.25">
      <c r="A27" s="636"/>
      <c r="S27" s="640"/>
      <c r="T27" s="640"/>
      <c r="U27" s="633"/>
      <c r="V27" s="633"/>
      <c r="W27" s="633"/>
      <c r="X27" s="633"/>
    </row>
    <row r="28" spans="1:24" s="115" customFormat="1" ht="18.75" x14ac:dyDescent="0.3">
      <c r="A28" s="637" t="s">
        <v>308</v>
      </c>
      <c r="S28" s="641"/>
      <c r="T28" s="641"/>
      <c r="U28" s="91"/>
      <c r="V28" s="91"/>
      <c r="W28" s="91"/>
      <c r="X28" s="91"/>
    </row>
    <row r="29" spans="1:24" x14ac:dyDescent="0.25">
      <c r="A29" s="855" t="s">
        <v>36</v>
      </c>
      <c r="B29" s="857" t="s">
        <v>37</v>
      </c>
      <c r="C29" s="857" t="s">
        <v>362</v>
      </c>
      <c r="D29" s="313" t="s">
        <v>38</v>
      </c>
      <c r="E29" s="313" t="s">
        <v>39</v>
      </c>
      <c r="F29" s="314" t="s">
        <v>40</v>
      </c>
      <c r="G29" s="314" t="s">
        <v>41</v>
      </c>
      <c r="H29" s="313" t="s">
        <v>42</v>
      </c>
      <c r="I29" s="313" t="s">
        <v>43</v>
      </c>
      <c r="J29" s="313" t="s">
        <v>44</v>
      </c>
      <c r="K29" s="314" t="s">
        <v>45</v>
      </c>
      <c r="L29" s="314" t="s">
        <v>46</v>
      </c>
      <c r="M29" s="314" t="s">
        <v>47</v>
      </c>
      <c r="N29" s="774" t="s">
        <v>48</v>
      </c>
      <c r="O29" s="774" t="s">
        <v>49</v>
      </c>
      <c r="P29" s="311" t="s">
        <v>50</v>
      </c>
      <c r="Q29" s="853" t="s">
        <v>51</v>
      </c>
      <c r="R29" s="854"/>
    </row>
    <row r="30" spans="1:24" ht="24.75" customHeight="1" x14ac:dyDescent="0.25">
      <c r="A30" s="856"/>
      <c r="B30" s="857"/>
      <c r="C30" s="857"/>
      <c r="D30" s="316"/>
      <c r="E30" s="317"/>
      <c r="F30" s="318"/>
      <c r="G30" s="318"/>
      <c r="H30" s="317"/>
      <c r="I30" s="317"/>
      <c r="J30" s="317"/>
      <c r="K30" s="318"/>
      <c r="L30" s="318" t="s">
        <v>52</v>
      </c>
      <c r="M30" s="318" t="s">
        <v>53</v>
      </c>
      <c r="N30" s="858"/>
      <c r="O30" s="858"/>
      <c r="P30" s="317"/>
      <c r="Q30" s="315" t="s">
        <v>54</v>
      </c>
      <c r="R30" s="312" t="s">
        <v>53</v>
      </c>
    </row>
    <row r="31" spans="1:24" x14ac:dyDescent="0.25">
      <c r="A31" s="321">
        <v>1</v>
      </c>
      <c r="B31" s="320">
        <v>2</v>
      </c>
      <c r="C31" s="320">
        <v>3</v>
      </c>
      <c r="D31" s="319">
        <v>4</v>
      </c>
      <c r="E31" s="319">
        <v>5</v>
      </c>
      <c r="F31" s="321">
        <v>6</v>
      </c>
      <c r="G31" s="321">
        <v>7</v>
      </c>
      <c r="H31" s="319">
        <v>8</v>
      </c>
      <c r="I31" s="319">
        <v>9</v>
      </c>
      <c r="J31" s="319">
        <v>10</v>
      </c>
      <c r="K31" s="321">
        <v>11</v>
      </c>
      <c r="L31" s="321">
        <v>12</v>
      </c>
      <c r="M31" s="321">
        <v>13</v>
      </c>
      <c r="N31" s="319">
        <v>14</v>
      </c>
      <c r="O31" s="319">
        <v>15</v>
      </c>
      <c r="P31" s="319">
        <v>16</v>
      </c>
      <c r="Q31" s="319">
        <v>17</v>
      </c>
      <c r="R31" s="319">
        <v>18</v>
      </c>
    </row>
    <row r="32" spans="1:24" x14ac:dyDescent="0.25">
      <c r="A32" s="790" t="s">
        <v>296</v>
      </c>
      <c r="B32" s="860"/>
      <c r="C32" s="860"/>
      <c r="D32" s="860"/>
      <c r="E32" s="860"/>
      <c r="F32" s="860"/>
      <c r="G32" s="860"/>
      <c r="H32" s="860"/>
      <c r="I32" s="860"/>
      <c r="J32" s="860"/>
      <c r="K32" s="860"/>
      <c r="L32" s="860"/>
      <c r="M32" s="860"/>
      <c r="N32" s="860"/>
      <c r="O32" s="860"/>
      <c r="P32" s="860"/>
      <c r="Q32" s="860"/>
      <c r="R32" s="861"/>
    </row>
    <row r="33" spans="1:27" x14ac:dyDescent="0.25">
      <c r="A33" s="767" t="s">
        <v>16</v>
      </c>
      <c r="B33" s="821"/>
      <c r="C33" s="821"/>
      <c r="D33" s="821"/>
      <c r="E33" s="821"/>
      <c r="F33" s="821"/>
      <c r="G33" s="821"/>
      <c r="H33" s="821"/>
      <c r="I33" s="821"/>
      <c r="J33" s="821"/>
      <c r="K33" s="821"/>
      <c r="L33" s="821"/>
      <c r="M33" s="821"/>
      <c r="N33" s="821"/>
      <c r="O33" s="821"/>
      <c r="P33" s="821"/>
      <c r="Q33" s="821"/>
      <c r="R33" s="822"/>
    </row>
    <row r="34" spans="1:27" x14ac:dyDescent="0.25">
      <c r="A34" s="767" t="s">
        <v>33</v>
      </c>
      <c r="B34" s="821"/>
      <c r="C34" s="821"/>
      <c r="D34" s="821"/>
      <c r="E34" s="821"/>
      <c r="F34" s="821"/>
      <c r="G34" s="821"/>
      <c r="H34" s="821"/>
      <c r="I34" s="821"/>
      <c r="J34" s="821"/>
      <c r="K34" s="821"/>
      <c r="L34" s="821"/>
      <c r="M34" s="821"/>
      <c r="N34" s="821"/>
      <c r="O34" s="821"/>
      <c r="P34" s="821"/>
      <c r="Q34" s="821"/>
      <c r="R34" s="822"/>
    </row>
    <row r="35" spans="1:27" ht="63" customHeight="1" x14ac:dyDescent="0.25">
      <c r="A35" s="830">
        <v>800103</v>
      </c>
      <c r="B35" s="310" t="s">
        <v>59</v>
      </c>
      <c r="C35" s="31" t="s">
        <v>34</v>
      </c>
      <c r="D35" s="28">
        <v>0.05</v>
      </c>
      <c r="E35" s="28">
        <v>0.03</v>
      </c>
      <c r="F35" s="32">
        <v>1.4</v>
      </c>
      <c r="G35" s="28">
        <v>1</v>
      </c>
      <c r="H35" s="28">
        <v>0.01</v>
      </c>
      <c r="I35" s="28" t="s">
        <v>55</v>
      </c>
      <c r="J35" s="28">
        <v>0.5</v>
      </c>
      <c r="K35" s="28">
        <v>0.5</v>
      </c>
      <c r="L35" s="28">
        <v>10</v>
      </c>
      <c r="M35" s="28">
        <f>(9900+7500)*0.1*1.83</f>
        <v>3184.2000000000003</v>
      </c>
      <c r="N35" s="28" t="s">
        <v>56</v>
      </c>
      <c r="O35" s="33" t="s">
        <v>57</v>
      </c>
      <c r="P35" s="28">
        <v>0</v>
      </c>
      <c r="Q35" s="28">
        <f t="shared" ref="Q35:Q36" si="0">ROUND(((D35*E35*F35*G35*H35*J35*L35*1000000*K35/3600)*(1-P35)),4)</f>
        <v>1.46E-2</v>
      </c>
      <c r="R35" s="28">
        <f t="shared" ref="R35:R36" si="1">ROUND((D35*E35*F35*G35*H35*J35*K35*M35*(1-P35)),4)</f>
        <v>1.67E-2</v>
      </c>
      <c r="T35" s="641" t="s">
        <v>273</v>
      </c>
    </row>
    <row r="36" spans="1:27" ht="53.25" customHeight="1" x14ac:dyDescent="0.25">
      <c r="A36" s="842"/>
      <c r="B36" s="28" t="s">
        <v>521</v>
      </c>
      <c r="C36" s="31" t="s">
        <v>522</v>
      </c>
      <c r="D36" s="28">
        <v>0.05</v>
      </c>
      <c r="E36" s="28">
        <v>0.02</v>
      </c>
      <c r="F36" s="32">
        <v>1.4</v>
      </c>
      <c r="G36" s="28">
        <v>1</v>
      </c>
      <c r="H36" s="28">
        <v>0.01</v>
      </c>
      <c r="I36" s="28" t="s">
        <v>55</v>
      </c>
      <c r="J36" s="28">
        <v>0.5</v>
      </c>
      <c r="K36" s="28">
        <v>0.5</v>
      </c>
      <c r="L36" s="28">
        <v>15</v>
      </c>
      <c r="M36" s="28">
        <v>14580</v>
      </c>
      <c r="N36" s="28" t="s">
        <v>56</v>
      </c>
      <c r="O36" s="33" t="s">
        <v>57</v>
      </c>
      <c r="P36" s="28">
        <v>0</v>
      </c>
      <c r="Q36" s="28">
        <f t="shared" si="0"/>
        <v>1.46E-2</v>
      </c>
      <c r="R36" s="28">
        <f t="shared" si="1"/>
        <v>5.0999999999999997E-2</v>
      </c>
      <c r="T36" s="641" t="s">
        <v>62</v>
      </c>
    </row>
    <row r="37" spans="1:27" ht="56.25" customHeight="1" x14ac:dyDescent="0.25">
      <c r="A37" s="842"/>
      <c r="B37" s="28" t="s">
        <v>60</v>
      </c>
      <c r="C37" s="31" t="s">
        <v>61</v>
      </c>
      <c r="D37" s="28">
        <v>0.05</v>
      </c>
      <c r="E37" s="28">
        <v>0.02</v>
      </c>
      <c r="F37" s="32">
        <v>1.4</v>
      </c>
      <c r="G37" s="28">
        <v>1</v>
      </c>
      <c r="H37" s="28">
        <v>0.01</v>
      </c>
      <c r="I37" s="28" t="s">
        <v>55</v>
      </c>
      <c r="J37" s="28">
        <v>0.5</v>
      </c>
      <c r="K37" s="28">
        <v>0.5</v>
      </c>
      <c r="L37" s="28">
        <v>5</v>
      </c>
      <c r="M37" s="28">
        <v>2106</v>
      </c>
      <c r="N37" s="28" t="s">
        <v>56</v>
      </c>
      <c r="O37" s="33" t="s">
        <v>57</v>
      </c>
      <c r="P37" s="28">
        <v>0</v>
      </c>
      <c r="Q37" s="28">
        <f t="shared" ref="Q37" si="2">ROUND(((D37*E37*F37*G37*H37*J37*L37*1000000*K37/3600)*(1-P37)),4)</f>
        <v>4.8999999999999998E-3</v>
      </c>
      <c r="R37" s="28">
        <f t="shared" ref="R37" si="3">ROUND((D37*E37*F37*G37*H37*J37*K37*M37*(1-P37)),4)</f>
        <v>7.4000000000000003E-3</v>
      </c>
      <c r="T37" s="641" t="s">
        <v>62</v>
      </c>
    </row>
    <row r="38" spans="1:27" ht="102" customHeight="1" x14ac:dyDescent="0.25">
      <c r="A38" s="845"/>
      <c r="B38" s="28" t="s">
        <v>63</v>
      </c>
      <c r="C38" s="31" t="s">
        <v>64</v>
      </c>
      <c r="D38" s="28">
        <v>0.02</v>
      </c>
      <c r="E38" s="28">
        <v>0.01</v>
      </c>
      <c r="F38" s="32">
        <v>1.4</v>
      </c>
      <c r="G38" s="28">
        <v>1</v>
      </c>
      <c r="H38" s="28">
        <v>0.01</v>
      </c>
      <c r="I38" s="28" t="s">
        <v>55</v>
      </c>
      <c r="J38" s="28">
        <v>0.2</v>
      </c>
      <c r="K38" s="28">
        <v>0.5</v>
      </c>
      <c r="L38" s="28">
        <v>5</v>
      </c>
      <c r="M38" s="28">
        <v>4692</v>
      </c>
      <c r="N38" s="28" t="s">
        <v>56</v>
      </c>
      <c r="O38" s="33" t="s">
        <v>57</v>
      </c>
      <c r="P38" s="28">
        <v>0</v>
      </c>
      <c r="Q38" s="28">
        <f t="shared" ref="Q38" si="4">ROUND(((D38*E38*F38*G38*H38*J38*L38*1000000*K38/3600)*(1-P38)),4)</f>
        <v>4.0000000000000002E-4</v>
      </c>
      <c r="R38" s="28">
        <f t="shared" ref="R38" si="5">ROUND((D38*E38*F38*G38*H38*J38*K38*M38*(1-P38)),4)</f>
        <v>1.2999999999999999E-3</v>
      </c>
      <c r="S38" s="91"/>
      <c r="T38" s="91" t="s">
        <v>674</v>
      </c>
    </row>
    <row r="39" spans="1:27" ht="90" customHeight="1" x14ac:dyDescent="0.25">
      <c r="A39" s="859"/>
      <c r="B39" s="28" t="s">
        <v>65</v>
      </c>
      <c r="C39" s="31" t="s">
        <v>66</v>
      </c>
      <c r="D39" s="28">
        <v>0.05</v>
      </c>
      <c r="E39" s="28">
        <v>0.02</v>
      </c>
      <c r="F39" s="32">
        <v>1.4</v>
      </c>
      <c r="G39" s="28">
        <v>1</v>
      </c>
      <c r="H39" s="28">
        <v>0.01</v>
      </c>
      <c r="I39" s="28" t="s">
        <v>55</v>
      </c>
      <c r="J39" s="28">
        <v>0.5</v>
      </c>
      <c r="K39" s="28">
        <v>0.5</v>
      </c>
      <c r="L39" s="28">
        <v>610</v>
      </c>
      <c r="M39" s="28">
        <v>180922</v>
      </c>
      <c r="N39" s="28" t="s">
        <v>56</v>
      </c>
      <c r="O39" s="33" t="s">
        <v>57</v>
      </c>
      <c r="P39" s="28">
        <v>0</v>
      </c>
      <c r="Q39" s="28">
        <f t="shared" ref="Q39" si="6">ROUND(((D39*E39*F39*G39*H39*J39*L39*1000000*K39/3600)*(1-P39)),4)</f>
        <v>0.59309999999999996</v>
      </c>
      <c r="R39" s="28">
        <f t="shared" ref="R39" si="7">ROUND((D39*E39*F39*G39*H39*J39*K39*M39*(1-P39)),4)</f>
        <v>0.63319999999999999</v>
      </c>
      <c r="T39" s="641" t="s">
        <v>62</v>
      </c>
    </row>
    <row r="40" spans="1:27" ht="12" customHeight="1" x14ac:dyDescent="0.25">
      <c r="A40" s="823" t="s">
        <v>58</v>
      </c>
      <c r="B40" s="824"/>
      <c r="C40" s="824"/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5"/>
    </row>
    <row r="41" spans="1:27" ht="38.25" x14ac:dyDescent="0.25">
      <c r="A41" s="797" t="s">
        <v>482</v>
      </c>
      <c r="B41" s="826"/>
      <c r="C41" s="826"/>
      <c r="D41" s="826"/>
      <c r="E41" s="826"/>
      <c r="F41" s="826"/>
      <c r="G41" s="826"/>
      <c r="H41" s="826"/>
      <c r="I41" s="826"/>
      <c r="J41" s="826"/>
      <c r="K41" s="826"/>
      <c r="L41" s="826"/>
      <c r="M41" s="827"/>
      <c r="N41" s="29" t="s">
        <v>56</v>
      </c>
      <c r="O41" s="30" t="s">
        <v>57</v>
      </c>
      <c r="P41" s="28"/>
      <c r="Q41" s="29">
        <f>MAX(Q35,Q36,Q37,Q38,Q39)</f>
        <v>0.59309999999999996</v>
      </c>
      <c r="R41" s="29">
        <f>R35+R36+R37+R38+R39</f>
        <v>0.70960000000000001</v>
      </c>
      <c r="S41" s="623"/>
      <c r="T41" s="623"/>
    </row>
    <row r="42" spans="1:27" x14ac:dyDescent="0.25">
      <c r="A42" s="767" t="s">
        <v>94</v>
      </c>
      <c r="B42" s="821"/>
      <c r="C42" s="821"/>
      <c r="D42" s="821"/>
      <c r="E42" s="821"/>
      <c r="F42" s="821"/>
      <c r="G42" s="821"/>
      <c r="H42" s="821"/>
      <c r="I42" s="821"/>
      <c r="J42" s="821"/>
      <c r="K42" s="821"/>
      <c r="L42" s="821"/>
      <c r="M42" s="821"/>
      <c r="N42" s="821"/>
      <c r="O42" s="821"/>
      <c r="P42" s="821"/>
      <c r="Q42" s="821"/>
      <c r="R42" s="822"/>
    </row>
    <row r="43" spans="1:27" ht="38.25" x14ac:dyDescent="0.25">
      <c r="A43" s="830">
        <v>800403</v>
      </c>
      <c r="B43" s="310" t="s">
        <v>96</v>
      </c>
      <c r="C43" s="31" t="s">
        <v>34</v>
      </c>
      <c r="D43" s="28">
        <v>0.05</v>
      </c>
      <c r="E43" s="28">
        <v>0.03</v>
      </c>
      <c r="F43" s="32">
        <v>1.4</v>
      </c>
      <c r="G43" s="28">
        <v>1</v>
      </c>
      <c r="H43" s="28">
        <v>0.01</v>
      </c>
      <c r="I43" s="28" t="s">
        <v>55</v>
      </c>
      <c r="J43" s="28">
        <v>0.5</v>
      </c>
      <c r="K43" s="28">
        <v>0.5</v>
      </c>
      <c r="L43" s="28">
        <v>120</v>
      </c>
      <c r="M43" s="28">
        <f>(722400)*0.1*1.83</f>
        <v>132199.20000000001</v>
      </c>
      <c r="N43" s="28" t="s">
        <v>56</v>
      </c>
      <c r="O43" s="33" t="s">
        <v>57</v>
      </c>
      <c r="P43" s="28">
        <v>0</v>
      </c>
      <c r="Q43" s="28">
        <f t="shared" ref="Q43:Q47" si="8">ROUND(((D43*E43*F43*G43*H43*J43*L43*1000000*K43/3600)*(1-P43)),4)</f>
        <v>0.17499999999999999</v>
      </c>
      <c r="R43" s="28">
        <f t="shared" ref="R43:R47" si="9">ROUND((D43*E43*F43*G43*H43*J43*K43*M43*(1-P43)),4)</f>
        <v>0.69399999999999995</v>
      </c>
      <c r="T43" s="641" t="s">
        <v>273</v>
      </c>
      <c r="AA43" s="86">
        <f>M43/L43</f>
        <v>1101.6600000000001</v>
      </c>
    </row>
    <row r="44" spans="1:27" ht="51" x14ac:dyDescent="0.25">
      <c r="A44" s="842"/>
      <c r="B44" s="28" t="s">
        <v>675</v>
      </c>
      <c r="C44" s="31" t="s">
        <v>64</v>
      </c>
      <c r="D44" s="28">
        <v>0.02</v>
      </c>
      <c r="E44" s="28">
        <v>0.01</v>
      </c>
      <c r="F44" s="32">
        <v>1.4</v>
      </c>
      <c r="G44" s="28">
        <v>1</v>
      </c>
      <c r="H44" s="28">
        <v>0.01</v>
      </c>
      <c r="I44" s="28" t="s">
        <v>55</v>
      </c>
      <c r="J44" s="28">
        <v>0.2</v>
      </c>
      <c r="K44" s="28">
        <v>0.5</v>
      </c>
      <c r="L44" s="28">
        <v>190</v>
      </c>
      <c r="M44" s="28">
        <v>367690</v>
      </c>
      <c r="N44" s="28" t="s">
        <v>56</v>
      </c>
      <c r="O44" s="33" t="s">
        <v>57</v>
      </c>
      <c r="P44" s="28">
        <v>0</v>
      </c>
      <c r="Q44" s="28">
        <f t="shared" si="8"/>
        <v>1.4800000000000001E-2</v>
      </c>
      <c r="R44" s="28">
        <f t="shared" si="9"/>
        <v>0.10299999999999999</v>
      </c>
      <c r="S44" s="27"/>
      <c r="T44" s="27" t="s">
        <v>674</v>
      </c>
      <c r="U44" s="27"/>
      <c r="V44" s="27"/>
      <c r="W44" s="27"/>
    </row>
    <row r="45" spans="1:27" ht="51" x14ac:dyDescent="0.25">
      <c r="A45" s="847"/>
      <c r="B45" s="32" t="s">
        <v>99</v>
      </c>
      <c r="C45" s="31" t="s">
        <v>34</v>
      </c>
      <c r="D45" s="28">
        <v>0.05</v>
      </c>
      <c r="E45" s="28">
        <v>0.03</v>
      </c>
      <c r="F45" s="32">
        <v>1.4</v>
      </c>
      <c r="G45" s="28">
        <v>1</v>
      </c>
      <c r="H45" s="28">
        <v>0.01</v>
      </c>
      <c r="I45" s="28" t="s">
        <v>55</v>
      </c>
      <c r="J45" s="28">
        <v>0.5</v>
      </c>
      <c r="K45" s="28">
        <v>0.5</v>
      </c>
      <c r="L45" s="28">
        <v>20</v>
      </c>
      <c r="M45" s="28">
        <f>(63480)*0.1*1.83</f>
        <v>11616.84</v>
      </c>
      <c r="N45" s="28" t="s">
        <v>56</v>
      </c>
      <c r="O45" s="33" t="s">
        <v>57</v>
      </c>
      <c r="P45" s="28">
        <v>0</v>
      </c>
      <c r="Q45" s="28">
        <f t="shared" si="8"/>
        <v>2.92E-2</v>
      </c>
      <c r="R45" s="28">
        <f t="shared" si="9"/>
        <v>6.0999999999999999E-2</v>
      </c>
      <c r="S45" s="27"/>
      <c r="T45" s="27" t="s">
        <v>273</v>
      </c>
      <c r="U45" s="27"/>
      <c r="V45" s="27"/>
      <c r="W45" s="27"/>
    </row>
    <row r="46" spans="1:27" ht="38.25" x14ac:dyDescent="0.25">
      <c r="A46" s="847"/>
      <c r="B46" s="28" t="s">
        <v>676</v>
      </c>
      <c r="C46" s="31" t="s">
        <v>66</v>
      </c>
      <c r="D46" s="28">
        <v>0.05</v>
      </c>
      <c r="E46" s="28">
        <v>0.02</v>
      </c>
      <c r="F46" s="32">
        <v>1.4</v>
      </c>
      <c r="G46" s="28">
        <v>1</v>
      </c>
      <c r="H46" s="28">
        <v>0.01</v>
      </c>
      <c r="I46" s="28" t="s">
        <v>55</v>
      </c>
      <c r="J46" s="28">
        <v>0.5</v>
      </c>
      <c r="K46" s="28">
        <v>0.5</v>
      </c>
      <c r="L46" s="28">
        <v>210</v>
      </c>
      <c r="M46" s="28">
        <v>313781</v>
      </c>
      <c r="N46" s="28" t="s">
        <v>56</v>
      </c>
      <c r="O46" s="33" t="s">
        <v>57</v>
      </c>
      <c r="P46" s="28">
        <v>0</v>
      </c>
      <c r="Q46" s="28">
        <f t="shared" si="8"/>
        <v>0.20419999999999999</v>
      </c>
      <c r="R46" s="28">
        <f t="shared" si="9"/>
        <v>1.0982000000000001</v>
      </c>
      <c r="S46" s="27"/>
      <c r="T46" s="27" t="s">
        <v>62</v>
      </c>
      <c r="U46" s="27"/>
      <c r="V46" s="27"/>
      <c r="W46" s="27"/>
    </row>
    <row r="47" spans="1:27" ht="51" x14ac:dyDescent="0.25">
      <c r="A47" s="846"/>
      <c r="B47" s="32" t="s">
        <v>100</v>
      </c>
      <c r="C47" s="31" t="s">
        <v>101</v>
      </c>
      <c r="D47" s="28">
        <v>0.02</v>
      </c>
      <c r="E47" s="28">
        <v>0.01</v>
      </c>
      <c r="F47" s="32">
        <v>1.4</v>
      </c>
      <c r="G47" s="28">
        <v>1</v>
      </c>
      <c r="H47" s="28">
        <v>0.01</v>
      </c>
      <c r="I47" s="28" t="s">
        <v>55</v>
      </c>
      <c r="J47" s="28">
        <v>0.4</v>
      </c>
      <c r="K47" s="28">
        <v>0.5</v>
      </c>
      <c r="L47" s="28">
        <v>25</v>
      </c>
      <c r="M47" s="28">
        <v>20216</v>
      </c>
      <c r="N47" s="28" t="s">
        <v>56</v>
      </c>
      <c r="O47" s="33" t="s">
        <v>57</v>
      </c>
      <c r="P47" s="28">
        <v>0.8</v>
      </c>
      <c r="Q47" s="28">
        <f t="shared" si="8"/>
        <v>8.0000000000000004E-4</v>
      </c>
      <c r="R47" s="28">
        <f t="shared" si="9"/>
        <v>2.3E-3</v>
      </c>
      <c r="S47" s="27"/>
      <c r="T47" s="27" t="s">
        <v>559</v>
      </c>
      <c r="U47" s="27"/>
      <c r="V47" s="27"/>
      <c r="W47" s="27"/>
    </row>
    <row r="48" spans="1:27" x14ac:dyDescent="0.25">
      <c r="A48" s="823" t="s">
        <v>58</v>
      </c>
      <c r="B48" s="824"/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  <c r="O48" s="824"/>
      <c r="P48" s="824"/>
      <c r="Q48" s="824"/>
      <c r="R48" s="825"/>
    </row>
    <row r="49" spans="1:23" ht="38.25" x14ac:dyDescent="0.25">
      <c r="A49" s="797" t="s">
        <v>488</v>
      </c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7"/>
      <c r="N49" s="29" t="s">
        <v>56</v>
      </c>
      <c r="O49" s="30" t="s">
        <v>57</v>
      </c>
      <c r="P49" s="28"/>
      <c r="Q49" s="29">
        <f>MAX(Q43,Q44,Q45,Q46,Q47)</f>
        <v>0.20419999999999999</v>
      </c>
      <c r="R49" s="29">
        <f>R45+R47+R43+R44+R46</f>
        <v>1.9584999999999999</v>
      </c>
    </row>
    <row r="50" spans="1:23" x14ac:dyDescent="0.25">
      <c r="A50" s="767" t="s">
        <v>133</v>
      </c>
      <c r="B50" s="821"/>
      <c r="C50" s="821"/>
      <c r="D50" s="821"/>
      <c r="E50" s="821"/>
      <c r="F50" s="821"/>
      <c r="G50" s="821"/>
      <c r="H50" s="821"/>
      <c r="I50" s="821"/>
      <c r="J50" s="821"/>
      <c r="K50" s="821"/>
      <c r="L50" s="821"/>
      <c r="M50" s="821"/>
      <c r="N50" s="821"/>
      <c r="O50" s="821"/>
      <c r="P50" s="821"/>
      <c r="Q50" s="821"/>
      <c r="R50" s="822"/>
    </row>
    <row r="51" spans="1:23" ht="51" x14ac:dyDescent="0.25">
      <c r="A51" s="852">
        <v>802003</v>
      </c>
      <c r="B51" s="28" t="s">
        <v>537</v>
      </c>
      <c r="C51" s="31" t="s">
        <v>34</v>
      </c>
      <c r="D51" s="28">
        <v>0.05</v>
      </c>
      <c r="E51" s="28">
        <v>0.03</v>
      </c>
      <c r="F51" s="32">
        <v>1.4</v>
      </c>
      <c r="G51" s="28">
        <v>1</v>
      </c>
      <c r="H51" s="28">
        <v>0.01</v>
      </c>
      <c r="I51" s="28" t="s">
        <v>55</v>
      </c>
      <c r="J51" s="28">
        <v>0.5</v>
      </c>
      <c r="K51" s="28">
        <v>0.5</v>
      </c>
      <c r="L51" s="28">
        <v>20</v>
      </c>
      <c r="M51" s="28">
        <v>24284</v>
      </c>
      <c r="N51" s="28" t="s">
        <v>56</v>
      </c>
      <c r="O51" s="33" t="s">
        <v>57</v>
      </c>
      <c r="P51" s="28">
        <v>0</v>
      </c>
      <c r="Q51" s="28">
        <f t="shared" ref="Q51" si="10">ROUND(((D51*E51*F51*G51*H51*J51*L51*1000000*K51/3600)*(1-P51)),4)</f>
        <v>2.92E-2</v>
      </c>
      <c r="R51" s="28">
        <f t="shared" ref="R51" si="11">ROUND((D51*E51*F51*G51*H51*J51*K51*M51*(1-P51)),4)</f>
        <v>0.1275</v>
      </c>
      <c r="T51" s="641" t="s">
        <v>274</v>
      </c>
    </row>
    <row r="52" spans="1:23" ht="38.25" x14ac:dyDescent="0.25">
      <c r="A52" s="847"/>
      <c r="B52" s="28" t="s">
        <v>538</v>
      </c>
      <c r="C52" s="31" t="s">
        <v>34</v>
      </c>
      <c r="D52" s="28">
        <v>0.05</v>
      </c>
      <c r="E52" s="28">
        <v>0.03</v>
      </c>
      <c r="F52" s="32">
        <v>1.4</v>
      </c>
      <c r="G52" s="28">
        <v>1</v>
      </c>
      <c r="H52" s="28">
        <v>0.01</v>
      </c>
      <c r="I52" s="28" t="s">
        <v>55</v>
      </c>
      <c r="J52" s="28">
        <v>0.5</v>
      </c>
      <c r="K52" s="28">
        <v>0.5</v>
      </c>
      <c r="L52" s="28">
        <v>2</v>
      </c>
      <c r="M52" s="28">
        <v>161</v>
      </c>
      <c r="N52" s="28" t="s">
        <v>56</v>
      </c>
      <c r="O52" s="33" t="s">
        <v>57</v>
      </c>
      <c r="P52" s="28">
        <v>0</v>
      </c>
      <c r="Q52" s="28">
        <f t="shared" ref="Q52:Q54" si="12">ROUND(((D52*E52*F52*G52*H52*J52*L52*1000000*K52/3600)*(1-P52)),4)</f>
        <v>2.8999999999999998E-3</v>
      </c>
      <c r="R52" s="28">
        <f t="shared" ref="R52:R54" si="13">ROUND((D52*E52*F52*G52*H52*J52*K52*M52*(1-P52)),4)</f>
        <v>8.0000000000000004E-4</v>
      </c>
    </row>
    <row r="53" spans="1:23" ht="38.25" x14ac:dyDescent="0.25">
      <c r="A53" s="847"/>
      <c r="B53" s="28" t="s">
        <v>305</v>
      </c>
      <c r="C53" s="31" t="s">
        <v>18</v>
      </c>
      <c r="D53" s="28">
        <v>0.05</v>
      </c>
      <c r="E53" s="28">
        <v>0.03</v>
      </c>
      <c r="F53" s="32">
        <v>1.4</v>
      </c>
      <c r="G53" s="28">
        <v>1</v>
      </c>
      <c r="H53" s="28">
        <v>0.01</v>
      </c>
      <c r="I53" s="28" t="s">
        <v>55</v>
      </c>
      <c r="J53" s="28">
        <v>0.6</v>
      </c>
      <c r="K53" s="28">
        <v>0.5</v>
      </c>
      <c r="L53" s="28">
        <v>5</v>
      </c>
      <c r="M53" s="28">
        <v>2344</v>
      </c>
      <c r="N53" s="28" t="s">
        <v>56</v>
      </c>
      <c r="O53" s="33" t="s">
        <v>57</v>
      </c>
      <c r="P53" s="28">
        <v>0</v>
      </c>
      <c r="Q53" s="28">
        <f t="shared" si="12"/>
        <v>8.8000000000000005E-3</v>
      </c>
      <c r="R53" s="28">
        <f t="shared" si="13"/>
        <v>1.4800000000000001E-2</v>
      </c>
      <c r="T53" s="642" t="s">
        <v>306</v>
      </c>
    </row>
    <row r="54" spans="1:23" ht="38.25" x14ac:dyDescent="0.25">
      <c r="A54" s="847"/>
      <c r="B54" s="28" t="s">
        <v>135</v>
      </c>
      <c r="C54" s="31" t="s">
        <v>136</v>
      </c>
      <c r="D54" s="28">
        <v>0.04</v>
      </c>
      <c r="E54" s="28">
        <v>0.02</v>
      </c>
      <c r="F54" s="32">
        <v>1.4</v>
      </c>
      <c r="G54" s="28">
        <v>1</v>
      </c>
      <c r="H54" s="28">
        <v>0.01</v>
      </c>
      <c r="I54" s="28" t="s">
        <v>55</v>
      </c>
      <c r="J54" s="28">
        <v>0.4</v>
      </c>
      <c r="K54" s="28">
        <v>0.5</v>
      </c>
      <c r="L54" s="28">
        <v>10</v>
      </c>
      <c r="M54" s="28">
        <v>17016</v>
      </c>
      <c r="N54" s="28" t="s">
        <v>56</v>
      </c>
      <c r="O54" s="33" t="s">
        <v>57</v>
      </c>
      <c r="P54" s="28">
        <v>0</v>
      </c>
      <c r="Q54" s="28">
        <f t="shared" si="12"/>
        <v>6.1999999999999998E-3</v>
      </c>
      <c r="R54" s="28">
        <f t="shared" si="13"/>
        <v>3.8100000000000002E-2</v>
      </c>
      <c r="S54" s="91"/>
      <c r="T54" s="641" t="s">
        <v>559</v>
      </c>
    </row>
    <row r="55" spans="1:23" ht="38.25" x14ac:dyDescent="0.25">
      <c r="A55" s="846"/>
      <c r="B55" s="28" t="s">
        <v>137</v>
      </c>
      <c r="C55" s="31" t="s">
        <v>138</v>
      </c>
      <c r="D55" s="28">
        <v>0.02</v>
      </c>
      <c r="E55" s="28">
        <v>0.01</v>
      </c>
      <c r="F55" s="32">
        <v>1.4</v>
      </c>
      <c r="G55" s="28">
        <v>1</v>
      </c>
      <c r="H55" s="28">
        <v>0.01</v>
      </c>
      <c r="I55" s="28" t="s">
        <v>55</v>
      </c>
      <c r="J55" s="28">
        <v>0.4</v>
      </c>
      <c r="K55" s="28">
        <v>0.5</v>
      </c>
      <c r="L55" s="28">
        <v>10</v>
      </c>
      <c r="M55" s="28">
        <v>7148</v>
      </c>
      <c r="N55" s="28" t="s">
        <v>56</v>
      </c>
      <c r="O55" s="33" t="s">
        <v>57</v>
      </c>
      <c r="P55" s="28">
        <v>0.8</v>
      </c>
      <c r="Q55" s="28">
        <f t="shared" ref="Q55" si="14">ROUND(((D55*E55*F55*G55*H55*J55*L55*1000000*K55/3600)*(1-P55)),4)</f>
        <v>2.9999999999999997E-4</v>
      </c>
      <c r="R55" s="28">
        <f t="shared" ref="R55" si="15">ROUND((D55*E55*F55*G55*H55*J55*K55*M55*(1-P55)),4)</f>
        <v>8.0000000000000004E-4</v>
      </c>
      <c r="T55" s="641" t="s">
        <v>559</v>
      </c>
    </row>
    <row r="56" spans="1:23" x14ac:dyDescent="0.25">
      <c r="A56" s="823" t="s">
        <v>58</v>
      </c>
      <c r="B56" s="824"/>
      <c r="C56" s="824"/>
      <c r="D56" s="824"/>
      <c r="E56" s="824"/>
      <c r="F56" s="824"/>
      <c r="G56" s="824"/>
      <c r="H56" s="824"/>
      <c r="I56" s="824"/>
      <c r="J56" s="824"/>
      <c r="K56" s="824"/>
      <c r="L56" s="824"/>
      <c r="M56" s="824"/>
      <c r="N56" s="824"/>
      <c r="O56" s="824"/>
      <c r="P56" s="824"/>
      <c r="Q56" s="824"/>
      <c r="R56" s="825"/>
    </row>
    <row r="57" spans="1:23" ht="38.25" x14ac:dyDescent="0.25">
      <c r="A57" s="797" t="s">
        <v>536</v>
      </c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7"/>
      <c r="N57" s="29" t="s">
        <v>56</v>
      </c>
      <c r="O57" s="30" t="s">
        <v>57</v>
      </c>
      <c r="P57" s="28"/>
      <c r="Q57" s="29">
        <f>MAX(Q51,Q52,Q54,Q55,Q53)</f>
        <v>2.92E-2</v>
      </c>
      <c r="R57" s="29">
        <f>R51+R52+R54+R55+R53</f>
        <v>0.182</v>
      </c>
      <c r="S57" s="697">
        <f>Q41+Q49+Q57</f>
        <v>0.8264999999999999</v>
      </c>
      <c r="T57" s="698">
        <f>R41+R49+R57</f>
        <v>2.8500999999999999</v>
      </c>
      <c r="U57" s="704">
        <v>2026</v>
      </c>
    </row>
    <row r="58" spans="1:23" x14ac:dyDescent="0.25">
      <c r="A58" s="781" t="s">
        <v>97</v>
      </c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1"/>
    </row>
    <row r="59" spans="1:23" x14ac:dyDescent="0.25">
      <c r="A59" s="781" t="s">
        <v>94</v>
      </c>
      <c r="B59" s="840"/>
      <c r="C59" s="840"/>
      <c r="D59" s="840"/>
      <c r="E59" s="840"/>
      <c r="F59" s="840"/>
      <c r="G59" s="840"/>
      <c r="H59" s="840"/>
      <c r="I59" s="840"/>
      <c r="J59" s="840"/>
      <c r="K59" s="840"/>
      <c r="L59" s="840"/>
      <c r="M59" s="840"/>
      <c r="N59" s="840"/>
      <c r="O59" s="840"/>
      <c r="P59" s="840"/>
      <c r="Q59" s="840"/>
      <c r="R59" s="841"/>
    </row>
    <row r="60" spans="1:23" ht="46.5" customHeight="1" x14ac:dyDescent="0.25">
      <c r="A60" s="830">
        <v>800403</v>
      </c>
      <c r="B60" s="28" t="s">
        <v>116</v>
      </c>
      <c r="C60" s="31" t="s">
        <v>677</v>
      </c>
      <c r="D60" s="28">
        <v>0.02</v>
      </c>
      <c r="E60" s="28">
        <v>0.01</v>
      </c>
      <c r="F60" s="32">
        <v>1.4</v>
      </c>
      <c r="G60" s="28">
        <v>1</v>
      </c>
      <c r="H60" s="28">
        <v>0.01</v>
      </c>
      <c r="I60" s="28" t="s">
        <v>55</v>
      </c>
      <c r="J60" s="28">
        <v>0.2</v>
      </c>
      <c r="K60" s="28">
        <v>0.5</v>
      </c>
      <c r="L60" s="28">
        <v>45</v>
      </c>
      <c r="M60" s="28">
        <v>23091</v>
      </c>
      <c r="N60" s="28" t="s">
        <v>56</v>
      </c>
      <c r="O60" s="33" t="s">
        <v>57</v>
      </c>
      <c r="P60" s="28">
        <v>0</v>
      </c>
      <c r="Q60" s="28">
        <f>ROUND(((D60*E60*F60*G60*H60*J60*L60*1000000*K60/3600)*(1-P60)),4)</f>
        <v>3.5000000000000001E-3</v>
      </c>
      <c r="R60" s="28">
        <f>ROUND((D60*E60*F60*G60*H60*J60*K60*M60*(1-P60)),4)</f>
        <v>6.4999999999999997E-3</v>
      </c>
    </row>
    <row r="61" spans="1:23" ht="57" customHeight="1" x14ac:dyDescent="0.25">
      <c r="A61" s="842"/>
      <c r="B61" s="28" t="s">
        <v>675</v>
      </c>
      <c r="C61" s="31" t="s">
        <v>64</v>
      </c>
      <c r="D61" s="28">
        <v>0.02</v>
      </c>
      <c r="E61" s="28">
        <v>0.01</v>
      </c>
      <c r="F61" s="32">
        <v>1.4</v>
      </c>
      <c r="G61" s="28">
        <v>1</v>
      </c>
      <c r="H61" s="28">
        <v>0.01</v>
      </c>
      <c r="I61" s="28" t="s">
        <v>55</v>
      </c>
      <c r="J61" s="28">
        <v>0.2</v>
      </c>
      <c r="K61" s="28">
        <v>0.5</v>
      </c>
      <c r="L61" s="28">
        <v>295</v>
      </c>
      <c r="M61" s="28">
        <v>882453</v>
      </c>
      <c r="N61" s="28" t="s">
        <v>56</v>
      </c>
      <c r="O61" s="33" t="s">
        <v>57</v>
      </c>
      <c r="P61" s="28">
        <v>0</v>
      </c>
      <c r="Q61" s="28">
        <f t="shared" ref="Q61:Q64" si="16">ROUND(((D61*E61*F61*G61*H61*J61*L61*1000000*K61/3600)*(1-P61)),4)</f>
        <v>2.29E-2</v>
      </c>
      <c r="R61" s="28">
        <f t="shared" ref="R61:R64" si="17">ROUND((D61*E61*F61*G61*H61*J61*K61*M61*(1-P61)),4)</f>
        <v>0.24709999999999999</v>
      </c>
      <c r="S61" s="27"/>
      <c r="T61" s="27" t="s">
        <v>674</v>
      </c>
      <c r="U61" s="27"/>
    </row>
    <row r="62" spans="1:23" ht="57" customHeight="1" x14ac:dyDescent="0.25">
      <c r="A62" s="842"/>
      <c r="B62" s="32" t="s">
        <v>99</v>
      </c>
      <c r="C62" s="31" t="s">
        <v>34</v>
      </c>
      <c r="D62" s="28">
        <v>0.05</v>
      </c>
      <c r="E62" s="28">
        <v>0.03</v>
      </c>
      <c r="F62" s="32">
        <v>1.4</v>
      </c>
      <c r="G62" s="28">
        <v>1</v>
      </c>
      <c r="H62" s="28">
        <v>0.01</v>
      </c>
      <c r="I62" s="28" t="s">
        <v>55</v>
      </c>
      <c r="J62" s="28">
        <v>0.5</v>
      </c>
      <c r="K62" s="28">
        <v>0.5</v>
      </c>
      <c r="L62" s="28">
        <v>20</v>
      </c>
      <c r="M62" s="28">
        <f>(63480)*0.1*1.83</f>
        <v>11616.84</v>
      </c>
      <c r="N62" s="28" t="s">
        <v>56</v>
      </c>
      <c r="O62" s="33" t="s">
        <v>57</v>
      </c>
      <c r="P62" s="28">
        <v>0</v>
      </c>
      <c r="Q62" s="28">
        <f t="shared" si="16"/>
        <v>2.92E-2</v>
      </c>
      <c r="R62" s="28">
        <f t="shared" si="17"/>
        <v>6.0999999999999999E-2</v>
      </c>
      <c r="S62" s="27"/>
      <c r="T62" s="27" t="s">
        <v>273</v>
      </c>
      <c r="U62" s="27"/>
      <c r="V62" s="27"/>
      <c r="W62" s="27"/>
    </row>
    <row r="63" spans="1:23" ht="40.5" customHeight="1" x14ac:dyDescent="0.25">
      <c r="A63" s="842"/>
      <c r="B63" s="28" t="s">
        <v>676</v>
      </c>
      <c r="C63" s="31" t="s">
        <v>66</v>
      </c>
      <c r="D63" s="28">
        <v>0.05</v>
      </c>
      <c r="E63" s="28">
        <v>0.02</v>
      </c>
      <c r="F63" s="32">
        <v>1.4</v>
      </c>
      <c r="G63" s="28">
        <v>1</v>
      </c>
      <c r="H63" s="28">
        <v>0.01</v>
      </c>
      <c r="I63" s="28" t="s">
        <v>55</v>
      </c>
      <c r="J63" s="28">
        <v>0.5</v>
      </c>
      <c r="K63" s="28">
        <v>0.5</v>
      </c>
      <c r="L63" s="28">
        <v>210</v>
      </c>
      <c r="M63" s="28">
        <v>313781</v>
      </c>
      <c r="N63" s="28" t="s">
        <v>56</v>
      </c>
      <c r="O63" s="33" t="s">
        <v>57</v>
      </c>
      <c r="P63" s="28">
        <v>0</v>
      </c>
      <c r="Q63" s="28">
        <f t="shared" si="16"/>
        <v>0.20419999999999999</v>
      </c>
      <c r="R63" s="28">
        <f t="shared" si="17"/>
        <v>1.0982000000000001</v>
      </c>
      <c r="S63" s="27"/>
      <c r="T63" s="27" t="s">
        <v>62</v>
      </c>
      <c r="U63" s="27"/>
      <c r="V63" s="27"/>
      <c r="W63" s="27"/>
    </row>
    <row r="64" spans="1:23" ht="51" x14ac:dyDescent="0.25">
      <c r="A64" s="842"/>
      <c r="B64" s="32" t="s">
        <v>100</v>
      </c>
      <c r="C64" s="31" t="s">
        <v>101</v>
      </c>
      <c r="D64" s="28">
        <v>0.02</v>
      </c>
      <c r="E64" s="28">
        <v>0.01</v>
      </c>
      <c r="F64" s="32">
        <v>1.4</v>
      </c>
      <c r="G64" s="28">
        <v>1</v>
      </c>
      <c r="H64" s="28">
        <v>0.01</v>
      </c>
      <c r="I64" s="28" t="s">
        <v>55</v>
      </c>
      <c r="J64" s="28">
        <v>0.4</v>
      </c>
      <c r="K64" s="28">
        <v>0.5</v>
      </c>
      <c r="L64" s="28">
        <v>25</v>
      </c>
      <c r="M64" s="28">
        <v>30327</v>
      </c>
      <c r="N64" s="28" t="s">
        <v>56</v>
      </c>
      <c r="O64" s="33" t="s">
        <v>57</v>
      </c>
      <c r="P64" s="28">
        <v>0.8</v>
      </c>
      <c r="Q64" s="28">
        <f t="shared" si="16"/>
        <v>8.0000000000000004E-4</v>
      </c>
      <c r="R64" s="28">
        <f t="shared" si="17"/>
        <v>3.3999999999999998E-3</v>
      </c>
      <c r="S64" s="27"/>
      <c r="T64" s="27" t="s">
        <v>559</v>
      </c>
      <c r="U64" s="27"/>
    </row>
    <row r="65" spans="1:20" ht="51" x14ac:dyDescent="0.25">
      <c r="A65" s="842"/>
      <c r="B65" s="32" t="s">
        <v>106</v>
      </c>
      <c r="C65" s="31" t="s">
        <v>101</v>
      </c>
      <c r="D65" s="28">
        <v>0.02</v>
      </c>
      <c r="E65" s="28">
        <v>0.01</v>
      </c>
      <c r="F65" s="32">
        <v>1.4</v>
      </c>
      <c r="G65" s="28">
        <v>1</v>
      </c>
      <c r="H65" s="28">
        <v>0.01</v>
      </c>
      <c r="I65" s="28" t="s">
        <v>55</v>
      </c>
      <c r="J65" s="28">
        <v>0.4</v>
      </c>
      <c r="K65" s="28">
        <v>0.5</v>
      </c>
      <c r="L65" s="28">
        <v>25</v>
      </c>
      <c r="M65" s="28">
        <v>20603</v>
      </c>
      <c r="N65" s="28" t="s">
        <v>56</v>
      </c>
      <c r="O65" s="33" t="s">
        <v>57</v>
      </c>
      <c r="P65" s="28">
        <v>0.8</v>
      </c>
      <c r="Q65" s="28">
        <f t="shared" ref="Q65" si="18">ROUND(((D65*E65*F65*G65*H65*J65*L65*1000000*K65/3600)*(1-P65)),4)</f>
        <v>8.0000000000000004E-4</v>
      </c>
      <c r="R65" s="28">
        <f t="shared" ref="R65" si="19">ROUND((D65*E65*F65*G65*H65*J65*K65*M65*(1-P65)),4)</f>
        <v>2.3E-3</v>
      </c>
      <c r="S65" s="91"/>
      <c r="T65" s="91" t="s">
        <v>559</v>
      </c>
    </row>
    <row r="66" spans="1:20" ht="63.75" x14ac:dyDescent="0.25">
      <c r="A66" s="842"/>
      <c r="B66" s="28" t="s">
        <v>102</v>
      </c>
      <c r="C66" s="31" t="s">
        <v>136</v>
      </c>
      <c r="D66" s="28">
        <v>0.04</v>
      </c>
      <c r="E66" s="28">
        <v>0.02</v>
      </c>
      <c r="F66" s="32">
        <v>1.4</v>
      </c>
      <c r="G66" s="28">
        <v>1</v>
      </c>
      <c r="H66" s="28">
        <v>0.01</v>
      </c>
      <c r="I66" s="28" t="s">
        <v>55</v>
      </c>
      <c r="J66" s="28">
        <v>0.5</v>
      </c>
      <c r="K66" s="28">
        <v>0.5</v>
      </c>
      <c r="L66" s="28">
        <v>10</v>
      </c>
      <c r="M66" s="28">
        <v>4021</v>
      </c>
      <c r="N66" s="28" t="s">
        <v>56</v>
      </c>
      <c r="O66" s="33" t="s">
        <v>57</v>
      </c>
      <c r="P66" s="28">
        <v>0</v>
      </c>
      <c r="Q66" s="28">
        <f t="shared" ref="Q66" si="20">ROUND(((D66*E66*F66*G66*H66*J66*L66*1000000*K66/3600)*(1-P66)),4)</f>
        <v>7.7999999999999996E-3</v>
      </c>
      <c r="R66" s="28">
        <f t="shared" ref="R66" si="21">ROUND((D66*E66*F66*G66*H66*J66*K66*M66*(1-P66)),4)</f>
        <v>1.1299999999999999E-2</v>
      </c>
      <c r="T66" s="641" t="s">
        <v>560</v>
      </c>
    </row>
    <row r="67" spans="1:20" x14ac:dyDescent="0.25">
      <c r="A67" s="823" t="s">
        <v>58</v>
      </c>
      <c r="B67" s="824"/>
      <c r="C67" s="824"/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5"/>
    </row>
    <row r="68" spans="1:20" ht="38.25" x14ac:dyDescent="0.25">
      <c r="A68" s="797" t="s">
        <v>488</v>
      </c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7"/>
      <c r="N68" s="29" t="s">
        <v>56</v>
      </c>
      <c r="O68" s="30" t="s">
        <v>57</v>
      </c>
      <c r="P68" s="28"/>
      <c r="Q68" s="29">
        <f>MAX(Q60,Q61,Q62,Q63,Q64,Q65,Q66)</f>
        <v>0.20419999999999999</v>
      </c>
      <c r="R68" s="29">
        <f>R60+R64+R66+R61+R62+R63+R65</f>
        <v>1.4298</v>
      </c>
    </row>
    <row r="69" spans="1:20" x14ac:dyDescent="0.25">
      <c r="A69" s="767" t="s">
        <v>125</v>
      </c>
      <c r="B69" s="821"/>
      <c r="C69" s="821"/>
      <c r="D69" s="821"/>
      <c r="E69" s="821"/>
      <c r="F69" s="821"/>
      <c r="G69" s="821"/>
      <c r="H69" s="821"/>
      <c r="I69" s="821"/>
      <c r="J69" s="821"/>
      <c r="K69" s="821"/>
      <c r="L69" s="821"/>
      <c r="M69" s="821"/>
      <c r="N69" s="821"/>
      <c r="O69" s="821"/>
      <c r="P69" s="821"/>
      <c r="Q69" s="821"/>
      <c r="R69" s="822"/>
    </row>
    <row r="70" spans="1:20" ht="38.25" x14ac:dyDescent="0.25">
      <c r="A70" s="833">
        <v>8010</v>
      </c>
      <c r="B70" s="326" t="s">
        <v>126</v>
      </c>
      <c r="C70" s="322" t="s">
        <v>34</v>
      </c>
      <c r="D70" s="1">
        <v>0.05</v>
      </c>
      <c r="E70" s="1">
        <v>0.03</v>
      </c>
      <c r="F70" s="323">
        <v>1.4</v>
      </c>
      <c r="G70" s="1">
        <v>1</v>
      </c>
      <c r="H70" s="1">
        <v>0.01</v>
      </c>
      <c r="I70" s="1" t="s">
        <v>55</v>
      </c>
      <c r="J70" s="1">
        <v>0.5</v>
      </c>
      <c r="K70" s="1">
        <v>0.5</v>
      </c>
      <c r="L70" s="1">
        <v>5</v>
      </c>
      <c r="M70" s="1">
        <v>1043</v>
      </c>
      <c r="N70" s="1" t="s">
        <v>56</v>
      </c>
      <c r="O70" s="324" t="s">
        <v>57</v>
      </c>
      <c r="P70" s="1">
        <v>0</v>
      </c>
      <c r="Q70" s="1">
        <f t="shared" ref="Q70:Q71" si="22">ROUND(((D70*E70*F70*G70*H70*J70*L70*1000000*K70/3600)*(1-P70)),4)</f>
        <v>7.3000000000000001E-3</v>
      </c>
      <c r="R70" s="1">
        <f t="shared" ref="R70:R71" si="23">ROUND((D70*E70*F70*G70*H70*J70*K70*M70*(1-P70)),4)</f>
        <v>5.4999999999999997E-3</v>
      </c>
      <c r="T70" s="641" t="s">
        <v>274</v>
      </c>
    </row>
    <row r="71" spans="1:20" ht="38.25" x14ac:dyDescent="0.25">
      <c r="A71" s="834"/>
      <c r="B71" s="326" t="s">
        <v>684</v>
      </c>
      <c r="C71" s="322" t="s">
        <v>34</v>
      </c>
      <c r="D71" s="1">
        <v>0.05</v>
      </c>
      <c r="E71" s="1">
        <v>0.03</v>
      </c>
      <c r="F71" s="323">
        <v>1.4</v>
      </c>
      <c r="G71" s="1">
        <v>1</v>
      </c>
      <c r="H71" s="1">
        <v>0.01</v>
      </c>
      <c r="I71" s="1" t="s">
        <v>55</v>
      </c>
      <c r="J71" s="1">
        <v>0.5</v>
      </c>
      <c r="K71" s="1">
        <v>0.5</v>
      </c>
      <c r="L71" s="1">
        <v>5</v>
      </c>
      <c r="M71" s="1">
        <f>(350)*0.1*1.83</f>
        <v>64.05</v>
      </c>
      <c r="N71" s="1" t="s">
        <v>56</v>
      </c>
      <c r="O71" s="324" t="s">
        <v>57</v>
      </c>
      <c r="P71" s="1">
        <v>0</v>
      </c>
      <c r="Q71" s="1">
        <f t="shared" si="22"/>
        <v>7.3000000000000001E-3</v>
      </c>
      <c r="R71" s="1">
        <f t="shared" si="23"/>
        <v>2.9999999999999997E-4</v>
      </c>
      <c r="T71" s="641" t="s">
        <v>273</v>
      </c>
    </row>
    <row r="72" spans="1:20" x14ac:dyDescent="0.25">
      <c r="A72" s="835" t="s">
        <v>58</v>
      </c>
      <c r="B72" s="836"/>
      <c r="C72" s="836"/>
      <c r="D72" s="836"/>
      <c r="E72" s="836"/>
      <c r="F72" s="836"/>
      <c r="G72" s="836"/>
      <c r="H72" s="836"/>
      <c r="I72" s="836"/>
      <c r="J72" s="836"/>
      <c r="K72" s="836"/>
      <c r="L72" s="836"/>
      <c r="M72" s="836"/>
      <c r="N72" s="836"/>
      <c r="O72" s="836"/>
      <c r="P72" s="836"/>
      <c r="Q72" s="836"/>
      <c r="R72" s="837"/>
    </row>
    <row r="73" spans="1:20" ht="38.25" x14ac:dyDescent="0.25">
      <c r="A73" s="806" t="s">
        <v>491</v>
      </c>
      <c r="B73" s="838"/>
      <c r="C73" s="838"/>
      <c r="D73" s="838"/>
      <c r="E73" s="838"/>
      <c r="F73" s="838"/>
      <c r="G73" s="838"/>
      <c r="H73" s="838"/>
      <c r="I73" s="838"/>
      <c r="J73" s="838"/>
      <c r="K73" s="838"/>
      <c r="L73" s="838"/>
      <c r="M73" s="839"/>
      <c r="N73" s="7" t="s">
        <v>56</v>
      </c>
      <c r="O73" s="327" t="s">
        <v>57</v>
      </c>
      <c r="P73" s="1"/>
      <c r="Q73" s="7">
        <f>MAX(Q70,Q71)</f>
        <v>7.3000000000000001E-3</v>
      </c>
      <c r="R73" s="7">
        <f>R70+R71</f>
        <v>5.7999999999999996E-3</v>
      </c>
    </row>
    <row r="74" spans="1:20" x14ac:dyDescent="0.25">
      <c r="A74" s="767" t="s">
        <v>127</v>
      </c>
      <c r="B74" s="821"/>
      <c r="C74" s="821"/>
      <c r="D74" s="821"/>
      <c r="E74" s="821"/>
      <c r="F74" s="821"/>
      <c r="G74" s="821"/>
      <c r="H74" s="821"/>
      <c r="I74" s="821"/>
      <c r="J74" s="821"/>
      <c r="K74" s="821"/>
      <c r="L74" s="821"/>
      <c r="M74" s="821"/>
      <c r="N74" s="821"/>
      <c r="O74" s="821"/>
      <c r="P74" s="821"/>
      <c r="Q74" s="821"/>
      <c r="R74" s="822"/>
    </row>
    <row r="75" spans="1:20" ht="38.25" x14ac:dyDescent="0.25">
      <c r="A75" s="833">
        <v>8012</v>
      </c>
      <c r="B75" s="326" t="s">
        <v>126</v>
      </c>
      <c r="C75" s="322" t="s">
        <v>34</v>
      </c>
      <c r="D75" s="1">
        <v>0.05</v>
      </c>
      <c r="E75" s="1">
        <v>0.03</v>
      </c>
      <c r="F75" s="323">
        <v>1.4</v>
      </c>
      <c r="G75" s="1">
        <v>1</v>
      </c>
      <c r="H75" s="1">
        <v>0.01</v>
      </c>
      <c r="I75" s="1" t="s">
        <v>55</v>
      </c>
      <c r="J75" s="1">
        <v>0.5</v>
      </c>
      <c r="K75" s="1">
        <v>0.5</v>
      </c>
      <c r="L75" s="1">
        <v>5</v>
      </c>
      <c r="M75" s="1">
        <v>933</v>
      </c>
      <c r="N75" s="1" t="s">
        <v>56</v>
      </c>
      <c r="O75" s="324" t="s">
        <v>57</v>
      </c>
      <c r="P75" s="1">
        <v>0</v>
      </c>
      <c r="Q75" s="1">
        <f t="shared" ref="Q75:Q76" si="24">ROUND(((D75*E75*F75*G75*H75*J75*L75*1000000*K75/3600)*(1-P75)),4)</f>
        <v>7.3000000000000001E-3</v>
      </c>
      <c r="R75" s="1">
        <f t="shared" ref="R75:R76" si="25">ROUND((D75*E75*F75*G75*H75*J75*K75*M75*(1-P75)),4)</f>
        <v>4.8999999999999998E-3</v>
      </c>
      <c r="T75" s="641" t="s">
        <v>274</v>
      </c>
    </row>
    <row r="76" spans="1:20" ht="38.25" x14ac:dyDescent="0.25">
      <c r="A76" s="834"/>
      <c r="B76" s="326" t="s">
        <v>684</v>
      </c>
      <c r="C76" s="322" t="s">
        <v>34</v>
      </c>
      <c r="D76" s="1">
        <v>0.05</v>
      </c>
      <c r="E76" s="1">
        <v>0.03</v>
      </c>
      <c r="F76" s="323">
        <v>1.4</v>
      </c>
      <c r="G76" s="1">
        <v>1</v>
      </c>
      <c r="H76" s="1">
        <v>0.01</v>
      </c>
      <c r="I76" s="1" t="s">
        <v>55</v>
      </c>
      <c r="J76" s="1">
        <v>0.5</v>
      </c>
      <c r="K76" s="1">
        <v>0.5</v>
      </c>
      <c r="L76" s="1">
        <v>5</v>
      </c>
      <c r="M76" s="1">
        <f>(310)*0.1*1.83</f>
        <v>56.730000000000004</v>
      </c>
      <c r="N76" s="1" t="s">
        <v>56</v>
      </c>
      <c r="O76" s="324" t="s">
        <v>57</v>
      </c>
      <c r="P76" s="1">
        <v>0</v>
      </c>
      <c r="Q76" s="1">
        <f t="shared" si="24"/>
        <v>7.3000000000000001E-3</v>
      </c>
      <c r="R76" s="1">
        <f t="shared" si="25"/>
        <v>2.9999999999999997E-4</v>
      </c>
      <c r="T76" s="641" t="s">
        <v>273</v>
      </c>
    </row>
    <row r="77" spans="1:20" x14ac:dyDescent="0.25">
      <c r="A77" s="835" t="s">
        <v>58</v>
      </c>
      <c r="B77" s="836"/>
      <c r="C77" s="836"/>
      <c r="D77" s="836"/>
      <c r="E77" s="836"/>
      <c r="F77" s="836"/>
      <c r="G77" s="836"/>
      <c r="H77" s="836"/>
      <c r="I77" s="836"/>
      <c r="J77" s="836"/>
      <c r="K77" s="836"/>
      <c r="L77" s="836"/>
      <c r="M77" s="836"/>
      <c r="N77" s="836"/>
      <c r="O77" s="836"/>
      <c r="P77" s="836"/>
      <c r="Q77" s="836"/>
      <c r="R77" s="837"/>
    </row>
    <row r="78" spans="1:20" ht="38.25" x14ac:dyDescent="0.25">
      <c r="A78" s="806" t="s">
        <v>497</v>
      </c>
      <c r="B78" s="838"/>
      <c r="C78" s="838"/>
      <c r="D78" s="838"/>
      <c r="E78" s="838"/>
      <c r="F78" s="838"/>
      <c r="G78" s="838"/>
      <c r="H78" s="838"/>
      <c r="I78" s="838"/>
      <c r="J78" s="838"/>
      <c r="K78" s="838"/>
      <c r="L78" s="838"/>
      <c r="M78" s="839"/>
      <c r="N78" s="7" t="s">
        <v>56</v>
      </c>
      <c r="O78" s="327" t="s">
        <v>57</v>
      </c>
      <c r="P78" s="1"/>
      <c r="Q78" s="7">
        <f>MAX(Q75,Q76)</f>
        <v>7.3000000000000001E-3</v>
      </c>
      <c r="R78" s="7">
        <f>R75+R76</f>
        <v>5.1999999999999998E-3</v>
      </c>
    </row>
    <row r="79" spans="1:20" x14ac:dyDescent="0.25">
      <c r="A79" s="767" t="s">
        <v>128</v>
      </c>
      <c r="B79" s="821"/>
      <c r="C79" s="821"/>
      <c r="D79" s="821"/>
      <c r="E79" s="821"/>
      <c r="F79" s="821"/>
      <c r="G79" s="821"/>
      <c r="H79" s="821"/>
      <c r="I79" s="821"/>
      <c r="J79" s="821"/>
      <c r="K79" s="821"/>
      <c r="L79" s="821"/>
      <c r="M79" s="821"/>
      <c r="N79" s="821"/>
      <c r="O79" s="821"/>
      <c r="P79" s="821"/>
      <c r="Q79" s="821"/>
      <c r="R79" s="822"/>
    </row>
    <row r="80" spans="1:20" ht="38.25" x14ac:dyDescent="0.25">
      <c r="A80" s="833">
        <v>8014</v>
      </c>
      <c r="B80" s="326" t="s">
        <v>126</v>
      </c>
      <c r="C80" s="322" t="s">
        <v>34</v>
      </c>
      <c r="D80" s="1">
        <v>0.05</v>
      </c>
      <c r="E80" s="1">
        <v>0.03</v>
      </c>
      <c r="F80" s="323">
        <v>1.4</v>
      </c>
      <c r="G80" s="1">
        <v>1</v>
      </c>
      <c r="H80" s="1">
        <v>0.01</v>
      </c>
      <c r="I80" s="1" t="s">
        <v>55</v>
      </c>
      <c r="J80" s="1">
        <v>0.5</v>
      </c>
      <c r="K80" s="1">
        <v>0.5</v>
      </c>
      <c r="L80" s="1">
        <v>5</v>
      </c>
      <c r="M80" s="1">
        <v>586</v>
      </c>
      <c r="N80" s="1" t="s">
        <v>56</v>
      </c>
      <c r="O80" s="324" t="s">
        <v>57</v>
      </c>
      <c r="P80" s="1">
        <v>0</v>
      </c>
      <c r="Q80" s="1">
        <f t="shared" ref="Q80:Q81" si="26">ROUND(((D80*E80*F80*G80*H80*J80*L80*1000000*K80/3600)*(1-P80)),4)</f>
        <v>7.3000000000000001E-3</v>
      </c>
      <c r="R80" s="1">
        <f t="shared" ref="R80:R81" si="27">ROUND((D80*E80*F80*G80*H80*J80*K80*M80*(1-P80)),4)</f>
        <v>3.0999999999999999E-3</v>
      </c>
      <c r="T80" s="641" t="s">
        <v>274</v>
      </c>
    </row>
    <row r="81" spans="1:23" ht="38.25" x14ac:dyDescent="0.25">
      <c r="A81" s="834"/>
      <c r="B81" s="326" t="s">
        <v>684</v>
      </c>
      <c r="C81" s="322" t="s">
        <v>34</v>
      </c>
      <c r="D81" s="1">
        <v>0.05</v>
      </c>
      <c r="E81" s="1">
        <v>0.03</v>
      </c>
      <c r="F81" s="323">
        <v>1.4</v>
      </c>
      <c r="G81" s="1">
        <v>1</v>
      </c>
      <c r="H81" s="1">
        <v>0.01</v>
      </c>
      <c r="I81" s="1" t="s">
        <v>55</v>
      </c>
      <c r="J81" s="1">
        <v>0.5</v>
      </c>
      <c r="K81" s="1">
        <v>0.5</v>
      </c>
      <c r="L81" s="1">
        <v>5</v>
      </c>
      <c r="M81" s="1">
        <f>(200)*0.1*1.83</f>
        <v>36.6</v>
      </c>
      <c r="N81" s="1" t="s">
        <v>56</v>
      </c>
      <c r="O81" s="324" t="s">
        <v>57</v>
      </c>
      <c r="P81" s="1">
        <v>0</v>
      </c>
      <c r="Q81" s="1">
        <f t="shared" si="26"/>
        <v>7.3000000000000001E-3</v>
      </c>
      <c r="R81" s="1">
        <f t="shared" si="27"/>
        <v>2.0000000000000001E-4</v>
      </c>
      <c r="T81" s="641" t="s">
        <v>273</v>
      </c>
    </row>
    <row r="82" spans="1:23" x14ac:dyDescent="0.25">
      <c r="A82" s="835" t="s">
        <v>58</v>
      </c>
      <c r="B82" s="836"/>
      <c r="C82" s="836"/>
      <c r="D82" s="836"/>
      <c r="E82" s="836"/>
      <c r="F82" s="836"/>
      <c r="G82" s="836"/>
      <c r="H82" s="836"/>
      <c r="I82" s="836"/>
      <c r="J82" s="836"/>
      <c r="K82" s="836"/>
      <c r="L82" s="836"/>
      <c r="M82" s="836"/>
      <c r="N82" s="836"/>
      <c r="O82" s="836"/>
      <c r="P82" s="836"/>
      <c r="Q82" s="836"/>
      <c r="R82" s="837"/>
    </row>
    <row r="83" spans="1:23" ht="38.25" x14ac:dyDescent="0.25">
      <c r="A83" s="806" t="s">
        <v>492</v>
      </c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39"/>
      <c r="N83" s="7" t="s">
        <v>56</v>
      </c>
      <c r="O83" s="327" t="s">
        <v>57</v>
      </c>
      <c r="P83" s="1"/>
      <c r="Q83" s="7">
        <f>MAX(Q80,Q81)</f>
        <v>7.3000000000000001E-3</v>
      </c>
      <c r="R83" s="7">
        <f>R80+R81</f>
        <v>3.3E-3</v>
      </c>
      <c r="S83" s="697">
        <f>Q68+Q73+Q78+Q83</f>
        <v>0.2261</v>
      </c>
      <c r="T83" s="698">
        <f>R68+R73+R78+R83</f>
        <v>1.4441000000000002</v>
      </c>
      <c r="U83" s="700">
        <v>2027</v>
      </c>
      <c r="V83" s="699"/>
    </row>
    <row r="84" spans="1:23" x14ac:dyDescent="0.25">
      <c r="A84" s="781" t="s">
        <v>98</v>
      </c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  <c r="P84" s="840"/>
      <c r="Q84" s="840"/>
      <c r="R84" s="841"/>
    </row>
    <row r="85" spans="1:23" x14ac:dyDescent="0.25">
      <c r="A85" s="781" t="s">
        <v>94</v>
      </c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  <c r="P85" s="840"/>
      <c r="Q85" s="840"/>
      <c r="R85" s="841"/>
    </row>
    <row r="86" spans="1:23" ht="76.5" x14ac:dyDescent="0.25">
      <c r="A86" s="830">
        <v>800403</v>
      </c>
      <c r="B86" s="28" t="s">
        <v>679</v>
      </c>
      <c r="C86" s="31" t="s">
        <v>677</v>
      </c>
      <c r="D86" s="28">
        <v>0.02</v>
      </c>
      <c r="E86" s="28">
        <v>0.01</v>
      </c>
      <c r="F86" s="32">
        <v>1.4</v>
      </c>
      <c r="G86" s="28">
        <v>1</v>
      </c>
      <c r="H86" s="28">
        <v>0.01</v>
      </c>
      <c r="I86" s="28" t="s">
        <v>55</v>
      </c>
      <c r="J86" s="28">
        <v>0.2</v>
      </c>
      <c r="K86" s="28">
        <v>0.5</v>
      </c>
      <c r="L86" s="28">
        <v>45</v>
      </c>
      <c r="M86" s="28">
        <v>58815</v>
      </c>
      <c r="N86" s="28" t="s">
        <v>56</v>
      </c>
      <c r="O86" s="33" t="s">
        <v>57</v>
      </c>
      <c r="P86" s="28">
        <v>0</v>
      </c>
      <c r="Q86" s="28">
        <f t="shared" ref="Q86:Q89" si="28">ROUND(((D86*E86*F86*G86*H86*J86*L86*1000000*K86/3600)*(1-P86)),4)</f>
        <v>3.5000000000000001E-3</v>
      </c>
      <c r="R86" s="28">
        <f t="shared" ref="R86:R89" si="29">ROUND((D86*E86*F86*G86*H86*J86*K86*M86*(1-P86)),4)</f>
        <v>1.6500000000000001E-2</v>
      </c>
    </row>
    <row r="87" spans="1:23" ht="51" x14ac:dyDescent="0.25">
      <c r="A87" s="842"/>
      <c r="B87" s="28" t="s">
        <v>675</v>
      </c>
      <c r="C87" s="31" t="s">
        <v>64</v>
      </c>
      <c r="D87" s="28">
        <v>0.02</v>
      </c>
      <c r="E87" s="28">
        <v>0.01</v>
      </c>
      <c r="F87" s="32">
        <v>1.4</v>
      </c>
      <c r="G87" s="28">
        <v>1</v>
      </c>
      <c r="H87" s="28">
        <v>0.01</v>
      </c>
      <c r="I87" s="28" t="s">
        <v>55</v>
      </c>
      <c r="J87" s="28">
        <v>0.2</v>
      </c>
      <c r="K87" s="28">
        <v>0.5</v>
      </c>
      <c r="L87" s="28">
        <v>115</v>
      </c>
      <c r="M87" s="28">
        <v>220614</v>
      </c>
      <c r="N87" s="28" t="s">
        <v>56</v>
      </c>
      <c r="O87" s="33" t="s">
        <v>57</v>
      </c>
      <c r="P87" s="28">
        <v>0</v>
      </c>
      <c r="Q87" s="28">
        <f t="shared" si="28"/>
        <v>8.8999999999999999E-3</v>
      </c>
      <c r="R87" s="28">
        <f t="shared" si="29"/>
        <v>6.1800000000000001E-2</v>
      </c>
      <c r="S87" s="91"/>
      <c r="T87" s="91" t="s">
        <v>674</v>
      </c>
    </row>
    <row r="88" spans="1:23" ht="51" x14ac:dyDescent="0.25">
      <c r="A88" s="842"/>
      <c r="B88" s="32" t="s">
        <v>99</v>
      </c>
      <c r="C88" s="31" t="s">
        <v>34</v>
      </c>
      <c r="D88" s="28">
        <v>0.05</v>
      </c>
      <c r="E88" s="28">
        <v>0.03</v>
      </c>
      <c r="F88" s="32">
        <v>1.4</v>
      </c>
      <c r="G88" s="28">
        <v>1</v>
      </c>
      <c r="H88" s="28">
        <v>0.01</v>
      </c>
      <c r="I88" s="28" t="s">
        <v>55</v>
      </c>
      <c r="J88" s="28">
        <v>0.5</v>
      </c>
      <c r="K88" s="28">
        <v>0.5</v>
      </c>
      <c r="L88" s="28">
        <v>20</v>
      </c>
      <c r="M88" s="28">
        <f>(31740)*0.1*1.83</f>
        <v>5808.42</v>
      </c>
      <c r="N88" s="28" t="s">
        <v>56</v>
      </c>
      <c r="O88" s="33" t="s">
        <v>57</v>
      </c>
      <c r="P88" s="28">
        <v>0</v>
      </c>
      <c r="Q88" s="28">
        <f t="shared" si="28"/>
        <v>2.92E-2</v>
      </c>
      <c r="R88" s="28">
        <f t="shared" si="29"/>
        <v>3.0499999999999999E-2</v>
      </c>
      <c r="S88" s="27"/>
      <c r="T88" s="27" t="s">
        <v>273</v>
      </c>
      <c r="U88" s="27"/>
      <c r="V88" s="27"/>
      <c r="W88" s="27"/>
    </row>
    <row r="89" spans="1:23" ht="51" x14ac:dyDescent="0.25">
      <c r="A89" s="842"/>
      <c r="B89" s="32" t="s">
        <v>106</v>
      </c>
      <c r="C89" s="31" t="s">
        <v>101</v>
      </c>
      <c r="D89" s="28">
        <v>0.02</v>
      </c>
      <c r="E89" s="28">
        <v>0.01</v>
      </c>
      <c r="F89" s="32">
        <v>1.4</v>
      </c>
      <c r="G89" s="28">
        <v>1</v>
      </c>
      <c r="H89" s="28">
        <v>0.01</v>
      </c>
      <c r="I89" s="28" t="s">
        <v>55</v>
      </c>
      <c r="J89" s="28">
        <v>0.4</v>
      </c>
      <c r="K89" s="28">
        <v>0.5</v>
      </c>
      <c r="L89" s="28">
        <v>25</v>
      </c>
      <c r="M89" s="28">
        <v>48076</v>
      </c>
      <c r="N89" s="28" t="s">
        <v>56</v>
      </c>
      <c r="O89" s="33" t="s">
        <v>57</v>
      </c>
      <c r="P89" s="28">
        <v>0.8</v>
      </c>
      <c r="Q89" s="28">
        <f t="shared" si="28"/>
        <v>8.0000000000000004E-4</v>
      </c>
      <c r="R89" s="28">
        <f t="shared" si="29"/>
        <v>5.4000000000000003E-3</v>
      </c>
      <c r="S89" s="91"/>
      <c r="T89" s="91" t="s">
        <v>559</v>
      </c>
      <c r="V89" s="27"/>
      <c r="W89" s="27"/>
    </row>
    <row r="90" spans="1:23" ht="51" x14ac:dyDescent="0.25">
      <c r="A90" s="845"/>
      <c r="B90" s="28" t="s">
        <v>527</v>
      </c>
      <c r="C90" s="31" t="s">
        <v>101</v>
      </c>
      <c r="D90" s="28">
        <v>0.02</v>
      </c>
      <c r="E90" s="28">
        <v>0.01</v>
      </c>
      <c r="F90" s="32">
        <v>1.4</v>
      </c>
      <c r="G90" s="28">
        <v>1</v>
      </c>
      <c r="H90" s="28">
        <v>0.01</v>
      </c>
      <c r="I90" s="28" t="s">
        <v>55</v>
      </c>
      <c r="J90" s="28">
        <v>0.4</v>
      </c>
      <c r="K90" s="28">
        <v>0.5</v>
      </c>
      <c r="L90" s="28">
        <v>5</v>
      </c>
      <c r="M90" s="28">
        <v>4539</v>
      </c>
      <c r="N90" s="28" t="s">
        <v>56</v>
      </c>
      <c r="O90" s="33" t="s">
        <v>57</v>
      </c>
      <c r="P90" s="28">
        <v>0.8</v>
      </c>
      <c r="Q90" s="28">
        <f>ROUND(((D90*E90*F90*G90*H90*J90*L90*1000000*K90/3600)*(1-P90)),4)</f>
        <v>2.0000000000000001E-4</v>
      </c>
      <c r="R90" s="28">
        <f>ROUND((D90*E90*F90*G90*H90*J90*K90*M90*(1-P90)),4)</f>
        <v>5.0000000000000001E-4</v>
      </c>
    </row>
    <row r="91" spans="1:23" ht="51" x14ac:dyDescent="0.25">
      <c r="A91" s="845"/>
      <c r="B91" s="28" t="s">
        <v>678</v>
      </c>
      <c r="C91" s="31" t="s">
        <v>64</v>
      </c>
      <c r="D91" s="28">
        <v>0.02</v>
      </c>
      <c r="E91" s="28">
        <v>0.01</v>
      </c>
      <c r="F91" s="32">
        <v>1.4</v>
      </c>
      <c r="G91" s="28">
        <v>1</v>
      </c>
      <c r="H91" s="28">
        <v>0.01</v>
      </c>
      <c r="I91" s="28" t="s">
        <v>55</v>
      </c>
      <c r="J91" s="28">
        <v>0.2</v>
      </c>
      <c r="K91" s="28">
        <v>0.5</v>
      </c>
      <c r="L91" s="28">
        <v>65</v>
      </c>
      <c r="M91" s="28">
        <v>108569</v>
      </c>
      <c r="N91" s="28" t="s">
        <v>56</v>
      </c>
      <c r="O91" s="33" t="s">
        <v>57</v>
      </c>
      <c r="P91" s="28">
        <v>0</v>
      </c>
      <c r="Q91" s="28">
        <f t="shared" ref="Q91" si="30">ROUND(((D91*E91*F91*G91*H91*J91*L91*1000000*K91/3600)*(1-P91)),4)</f>
        <v>5.1000000000000004E-3</v>
      </c>
      <c r="R91" s="28">
        <f t="shared" ref="R91" si="31">ROUND((D91*E91*F91*G91*H91*J91*K91*M91*(1-P91)),4)</f>
        <v>3.04E-2</v>
      </c>
      <c r="S91" s="91"/>
      <c r="T91" s="91" t="s">
        <v>674</v>
      </c>
    </row>
    <row r="92" spans="1:23" ht="63.75" x14ac:dyDescent="0.25">
      <c r="A92" s="845"/>
      <c r="B92" s="28" t="s">
        <v>102</v>
      </c>
      <c r="C92" s="31" t="s">
        <v>136</v>
      </c>
      <c r="D92" s="28">
        <v>0.04</v>
      </c>
      <c r="E92" s="28">
        <v>0.02</v>
      </c>
      <c r="F92" s="32">
        <v>1.4</v>
      </c>
      <c r="G92" s="28">
        <v>1</v>
      </c>
      <c r="H92" s="28">
        <v>0.01</v>
      </c>
      <c r="I92" s="28" t="s">
        <v>55</v>
      </c>
      <c r="J92" s="28">
        <v>0.5</v>
      </c>
      <c r="K92" s="28">
        <v>0.5</v>
      </c>
      <c r="L92" s="28">
        <v>5</v>
      </c>
      <c r="M92" s="28">
        <v>10265</v>
      </c>
      <c r="N92" s="28" t="s">
        <v>56</v>
      </c>
      <c r="O92" s="33" t="s">
        <v>57</v>
      </c>
      <c r="P92" s="28">
        <v>0</v>
      </c>
      <c r="Q92" s="28">
        <f t="shared" ref="Q92" si="32">ROUND(((D92*E92*F92*G92*H92*J92*L92*1000000*K92/3600)*(1-P92)),4)</f>
        <v>3.8999999999999998E-3</v>
      </c>
      <c r="R92" s="28">
        <f t="shared" ref="R92" si="33">ROUND((D92*E92*F92*G92*H92*J92*K92*M92*(1-P92)),4)</f>
        <v>2.87E-2</v>
      </c>
      <c r="T92" s="641" t="s">
        <v>560</v>
      </c>
    </row>
    <row r="93" spans="1:23" x14ac:dyDescent="0.25">
      <c r="A93" s="823" t="s">
        <v>58</v>
      </c>
      <c r="B93" s="824"/>
      <c r="C93" s="824"/>
      <c r="D93" s="824"/>
      <c r="E93" s="824"/>
      <c r="F93" s="824"/>
      <c r="G93" s="824"/>
      <c r="H93" s="824"/>
      <c r="I93" s="824"/>
      <c r="J93" s="824"/>
      <c r="K93" s="824"/>
      <c r="L93" s="824"/>
      <c r="M93" s="824"/>
      <c r="N93" s="824"/>
      <c r="O93" s="824"/>
      <c r="P93" s="824"/>
      <c r="Q93" s="824"/>
      <c r="R93" s="825"/>
    </row>
    <row r="94" spans="1:23" ht="38.25" x14ac:dyDescent="0.25">
      <c r="A94" s="797" t="s">
        <v>488</v>
      </c>
      <c r="B94" s="826"/>
      <c r="C94" s="826"/>
      <c r="D94" s="826"/>
      <c r="E94" s="826"/>
      <c r="F94" s="826"/>
      <c r="G94" s="826"/>
      <c r="H94" s="826"/>
      <c r="I94" s="826"/>
      <c r="J94" s="826"/>
      <c r="K94" s="826"/>
      <c r="L94" s="826"/>
      <c r="M94" s="827"/>
      <c r="N94" s="29" t="s">
        <v>56</v>
      </c>
      <c r="O94" s="30" t="s">
        <v>57</v>
      </c>
      <c r="P94" s="28"/>
      <c r="Q94" s="29">
        <f>MAX(Q92,Q87,Q88,Q89,Q91,Q86,Q90)</f>
        <v>2.92E-2</v>
      </c>
      <c r="R94" s="29">
        <f>R86+R92+R90+R87+R88+R89+R91</f>
        <v>0.17380000000000001</v>
      </c>
    </row>
    <row r="95" spans="1:23" x14ac:dyDescent="0.25">
      <c r="A95" s="767" t="s">
        <v>129</v>
      </c>
      <c r="B95" s="821"/>
      <c r="C95" s="821"/>
      <c r="D95" s="821"/>
      <c r="E95" s="821"/>
      <c r="F95" s="821"/>
      <c r="G95" s="821"/>
      <c r="H95" s="821"/>
      <c r="I95" s="821"/>
      <c r="J95" s="821"/>
      <c r="K95" s="821"/>
      <c r="L95" s="821"/>
      <c r="M95" s="821"/>
      <c r="N95" s="821"/>
      <c r="O95" s="821"/>
      <c r="P95" s="821"/>
      <c r="Q95" s="821"/>
      <c r="R95" s="822"/>
    </row>
    <row r="96" spans="1:23" ht="38.25" x14ac:dyDescent="0.25">
      <c r="A96" s="638">
        <v>8016</v>
      </c>
      <c r="B96" s="28" t="s">
        <v>130</v>
      </c>
      <c r="C96" s="31" t="s">
        <v>131</v>
      </c>
      <c r="D96" s="28">
        <v>0.02</v>
      </c>
      <c r="E96" s="28">
        <v>0.01</v>
      </c>
      <c r="F96" s="32">
        <v>1.4</v>
      </c>
      <c r="G96" s="28">
        <v>1</v>
      </c>
      <c r="H96" s="28">
        <v>0.01</v>
      </c>
      <c r="I96" s="28" t="s">
        <v>55</v>
      </c>
      <c r="J96" s="28">
        <v>0.4</v>
      </c>
      <c r="K96" s="28">
        <v>0.5</v>
      </c>
      <c r="L96" s="28">
        <v>2</v>
      </c>
      <c r="M96" s="28">
        <v>20</v>
      </c>
      <c r="N96" s="28" t="s">
        <v>56</v>
      </c>
      <c r="O96" s="33" t="s">
        <v>57</v>
      </c>
      <c r="P96" s="28">
        <v>0</v>
      </c>
      <c r="Q96" s="28">
        <f t="shared" ref="Q96" si="34">ROUND(((D96*E96*F96*G96*H96*J96*L96*1000000*K96/3600)*(1-P96)),4)</f>
        <v>2.9999999999999997E-4</v>
      </c>
      <c r="R96" s="28">
        <f>ROUND((D96*E96*F96*G96*H96*J96*K96*M96*(1-P96)),5)</f>
        <v>1.0000000000000001E-5</v>
      </c>
      <c r="T96" s="641" t="s">
        <v>559</v>
      </c>
    </row>
    <row r="97" spans="1:20" x14ac:dyDescent="0.25">
      <c r="A97" s="767" t="s">
        <v>132</v>
      </c>
      <c r="B97" s="821"/>
      <c r="C97" s="821"/>
      <c r="D97" s="821"/>
      <c r="E97" s="821"/>
      <c r="F97" s="821"/>
      <c r="G97" s="821"/>
      <c r="H97" s="821"/>
      <c r="I97" s="821"/>
      <c r="J97" s="821"/>
      <c r="K97" s="821"/>
      <c r="L97" s="821"/>
      <c r="M97" s="821"/>
      <c r="N97" s="821"/>
      <c r="O97" s="821"/>
      <c r="P97" s="821"/>
      <c r="Q97" s="821"/>
      <c r="R97" s="822"/>
    </row>
    <row r="98" spans="1:20" ht="38.25" x14ac:dyDescent="0.25">
      <c r="A98" s="638">
        <v>8018</v>
      </c>
      <c r="B98" s="28" t="s">
        <v>130</v>
      </c>
      <c r="C98" s="31" t="s">
        <v>131</v>
      </c>
      <c r="D98" s="28">
        <v>0.02</v>
      </c>
      <c r="E98" s="28">
        <v>0.01</v>
      </c>
      <c r="F98" s="32">
        <v>1.4</v>
      </c>
      <c r="G98" s="28">
        <v>1</v>
      </c>
      <c r="H98" s="28">
        <v>0.01</v>
      </c>
      <c r="I98" s="28" t="s">
        <v>55</v>
      </c>
      <c r="J98" s="28">
        <v>0.4</v>
      </c>
      <c r="K98" s="28">
        <v>0.5</v>
      </c>
      <c r="L98" s="28">
        <v>2</v>
      </c>
      <c r="M98" s="28">
        <v>11</v>
      </c>
      <c r="N98" s="28" t="s">
        <v>56</v>
      </c>
      <c r="O98" s="33" t="s">
        <v>57</v>
      </c>
      <c r="P98" s="28">
        <v>0</v>
      </c>
      <c r="Q98" s="28">
        <f t="shared" ref="Q98" si="35">ROUND(((D98*E98*F98*G98*H98*J98*L98*1000000*K98/3600)*(1-P98)),4)</f>
        <v>2.9999999999999997E-4</v>
      </c>
      <c r="R98" s="28">
        <f>ROUND((D98*E98*F98*G98*H98*J98*K98*M98*(1-P98)),5)</f>
        <v>1.0000000000000001E-5</v>
      </c>
      <c r="T98" s="641" t="s">
        <v>559</v>
      </c>
    </row>
    <row r="99" spans="1:20" x14ac:dyDescent="0.25">
      <c r="A99" s="767" t="s">
        <v>539</v>
      </c>
      <c r="B99" s="821"/>
      <c r="C99" s="821"/>
      <c r="D99" s="821"/>
      <c r="E99" s="821"/>
      <c r="F99" s="821"/>
      <c r="G99" s="821"/>
      <c r="H99" s="821"/>
      <c r="I99" s="821"/>
      <c r="J99" s="821"/>
      <c r="K99" s="821"/>
      <c r="L99" s="821"/>
      <c r="M99" s="821"/>
      <c r="N99" s="821"/>
      <c r="O99" s="821"/>
      <c r="P99" s="821"/>
      <c r="Q99" s="821"/>
      <c r="R99" s="822"/>
    </row>
    <row r="100" spans="1:20" ht="51" x14ac:dyDescent="0.25">
      <c r="A100" s="830">
        <v>8022</v>
      </c>
      <c r="B100" s="28" t="s">
        <v>540</v>
      </c>
      <c r="C100" s="31" t="s">
        <v>34</v>
      </c>
      <c r="D100" s="28">
        <v>0.05</v>
      </c>
      <c r="E100" s="28">
        <v>0.03</v>
      </c>
      <c r="F100" s="32">
        <v>1.4</v>
      </c>
      <c r="G100" s="28">
        <v>1</v>
      </c>
      <c r="H100" s="28">
        <v>0.01</v>
      </c>
      <c r="I100" s="28" t="s">
        <v>55</v>
      </c>
      <c r="J100" s="28">
        <v>0.5</v>
      </c>
      <c r="K100" s="28">
        <v>0.5</v>
      </c>
      <c r="L100" s="28">
        <v>25</v>
      </c>
      <c r="M100" s="28">
        <v>36582</v>
      </c>
      <c r="N100" s="28" t="s">
        <v>56</v>
      </c>
      <c r="O100" s="33" t="s">
        <v>57</v>
      </c>
      <c r="P100" s="28">
        <v>0</v>
      </c>
      <c r="Q100" s="28">
        <f t="shared" ref="Q100" si="36">ROUND(((D100*E100*F100*G100*H100*J100*L100*1000000*K100/3600)*(1-P100)),4)</f>
        <v>3.6499999999999998E-2</v>
      </c>
      <c r="R100" s="28">
        <f t="shared" ref="R100" si="37">ROUND((D100*E100*F100*G100*H100*J100*K100*M100*(1-P100)),4)</f>
        <v>0.19209999999999999</v>
      </c>
    </row>
    <row r="101" spans="1:20" ht="38.25" x14ac:dyDescent="0.25">
      <c r="A101" s="847"/>
      <c r="B101" s="28" t="s">
        <v>541</v>
      </c>
      <c r="C101" s="31" t="s">
        <v>34</v>
      </c>
      <c r="D101" s="28">
        <v>0.05</v>
      </c>
      <c r="E101" s="28">
        <v>0.03</v>
      </c>
      <c r="F101" s="32">
        <v>1.4</v>
      </c>
      <c r="G101" s="28">
        <v>1</v>
      </c>
      <c r="H101" s="28">
        <v>0.01</v>
      </c>
      <c r="I101" s="28" t="s">
        <v>55</v>
      </c>
      <c r="J101" s="28">
        <v>0.5</v>
      </c>
      <c r="K101" s="28">
        <v>0.5</v>
      </c>
      <c r="L101" s="28">
        <v>5</v>
      </c>
      <c r="M101" s="28">
        <v>740</v>
      </c>
      <c r="N101" s="28" t="s">
        <v>56</v>
      </c>
      <c r="O101" s="33" t="s">
        <v>57</v>
      </c>
      <c r="P101" s="28">
        <v>0</v>
      </c>
      <c r="Q101" s="28">
        <f t="shared" ref="Q101:Q103" si="38">ROUND(((D101*E101*F101*G101*H101*J101*L101*1000000*K101/3600)*(1-P101)),4)</f>
        <v>7.3000000000000001E-3</v>
      </c>
      <c r="R101" s="28">
        <f t="shared" ref="R101" si="39">ROUND((D101*E101*F101*G101*H101*J101*K101*M101*(1-P101)),4)</f>
        <v>3.8999999999999998E-3</v>
      </c>
    </row>
    <row r="102" spans="1:20" ht="38.25" x14ac:dyDescent="0.25">
      <c r="A102" s="847"/>
      <c r="B102" s="28" t="s">
        <v>542</v>
      </c>
      <c r="C102" s="31" t="s">
        <v>138</v>
      </c>
      <c r="D102" s="28">
        <v>0.02</v>
      </c>
      <c r="E102" s="28">
        <v>0.01</v>
      </c>
      <c r="F102" s="32">
        <v>1.4</v>
      </c>
      <c r="G102" s="28">
        <v>1</v>
      </c>
      <c r="H102" s="28">
        <v>0.01</v>
      </c>
      <c r="I102" s="28" t="s">
        <v>55</v>
      </c>
      <c r="J102" s="28">
        <v>0.4</v>
      </c>
      <c r="K102" s="28">
        <v>0.5</v>
      </c>
      <c r="L102" s="28">
        <v>5</v>
      </c>
      <c r="M102" s="28">
        <v>941</v>
      </c>
      <c r="N102" s="28" t="s">
        <v>56</v>
      </c>
      <c r="O102" s="33" t="s">
        <v>57</v>
      </c>
      <c r="P102" s="28">
        <v>0.8</v>
      </c>
      <c r="Q102" s="28">
        <f t="shared" si="38"/>
        <v>2.0000000000000001E-4</v>
      </c>
      <c r="R102" s="28">
        <f>ROUND((D102*E102*F102*G102*H102*J102*K102*M102*(1-P102)),5)</f>
        <v>1.1E-4</v>
      </c>
    </row>
    <row r="103" spans="1:20" ht="38.25" x14ac:dyDescent="0.25">
      <c r="A103" s="846"/>
      <c r="B103" s="28" t="s">
        <v>137</v>
      </c>
      <c r="C103" s="31" t="s">
        <v>138</v>
      </c>
      <c r="D103" s="28">
        <v>0.02</v>
      </c>
      <c r="E103" s="28">
        <v>0.01</v>
      </c>
      <c r="F103" s="32">
        <v>1.4</v>
      </c>
      <c r="G103" s="28">
        <v>1</v>
      </c>
      <c r="H103" s="28">
        <v>0.01</v>
      </c>
      <c r="I103" s="28" t="s">
        <v>55</v>
      </c>
      <c r="J103" s="28">
        <v>0.4</v>
      </c>
      <c r="K103" s="28">
        <v>0.5</v>
      </c>
      <c r="L103" s="28">
        <v>10</v>
      </c>
      <c r="M103" s="28">
        <v>2204</v>
      </c>
      <c r="N103" s="28" t="s">
        <v>56</v>
      </c>
      <c r="O103" s="33" t="s">
        <v>57</v>
      </c>
      <c r="P103" s="28">
        <v>0.8</v>
      </c>
      <c r="Q103" s="28">
        <f t="shared" si="38"/>
        <v>2.9999999999999997E-4</v>
      </c>
      <c r="R103" s="28">
        <f t="shared" ref="R103" si="40">ROUND((D103*E103*F103*G103*H103*J103*K103*M103*(1-P103)),4)</f>
        <v>2.0000000000000001E-4</v>
      </c>
    </row>
    <row r="104" spans="1:20" x14ac:dyDescent="0.25">
      <c r="A104" s="823" t="s">
        <v>58</v>
      </c>
      <c r="B104" s="824"/>
      <c r="C104" s="824"/>
      <c r="D104" s="824"/>
      <c r="E104" s="824"/>
      <c r="F104" s="824"/>
      <c r="G104" s="824"/>
      <c r="H104" s="824"/>
      <c r="I104" s="824"/>
      <c r="J104" s="824"/>
      <c r="K104" s="824"/>
      <c r="L104" s="824"/>
      <c r="M104" s="824"/>
      <c r="N104" s="824"/>
      <c r="O104" s="824"/>
      <c r="P104" s="824"/>
      <c r="Q104" s="824"/>
      <c r="R104" s="825"/>
    </row>
    <row r="105" spans="1:20" ht="38.25" x14ac:dyDescent="0.25">
      <c r="A105" s="797" t="s">
        <v>494</v>
      </c>
      <c r="B105" s="826"/>
      <c r="C105" s="826"/>
      <c r="D105" s="826"/>
      <c r="E105" s="826"/>
      <c r="F105" s="826"/>
      <c r="G105" s="826"/>
      <c r="H105" s="826"/>
      <c r="I105" s="826"/>
      <c r="J105" s="826"/>
      <c r="K105" s="826"/>
      <c r="L105" s="826"/>
      <c r="M105" s="827"/>
      <c r="N105" s="29" t="s">
        <v>56</v>
      </c>
      <c r="O105" s="30" t="s">
        <v>57</v>
      </c>
      <c r="P105" s="28"/>
      <c r="Q105" s="29">
        <f>MAX(Q103,Q101,Q100,Q102)</f>
        <v>3.6499999999999998E-2</v>
      </c>
      <c r="R105" s="29">
        <f>R101+R103+R100+R102</f>
        <v>0.19630999999999998</v>
      </c>
    </row>
    <row r="106" spans="1:20" x14ac:dyDescent="0.25">
      <c r="A106" s="767" t="s">
        <v>543</v>
      </c>
      <c r="B106" s="821"/>
      <c r="C106" s="821"/>
      <c r="D106" s="821"/>
      <c r="E106" s="821"/>
      <c r="F106" s="821"/>
      <c r="G106" s="821"/>
      <c r="H106" s="821"/>
      <c r="I106" s="821"/>
      <c r="J106" s="821"/>
      <c r="K106" s="821"/>
      <c r="L106" s="821"/>
      <c r="M106" s="821"/>
      <c r="N106" s="821"/>
      <c r="O106" s="821"/>
      <c r="P106" s="821"/>
      <c r="Q106" s="821"/>
      <c r="R106" s="822"/>
    </row>
    <row r="107" spans="1:20" ht="51" x14ac:dyDescent="0.25">
      <c r="A107" s="830">
        <v>8024</v>
      </c>
      <c r="B107" s="28" t="s">
        <v>540</v>
      </c>
      <c r="C107" s="31" t="s">
        <v>34</v>
      </c>
      <c r="D107" s="28">
        <v>0.05</v>
      </c>
      <c r="E107" s="28">
        <v>0.03</v>
      </c>
      <c r="F107" s="32">
        <v>1.4</v>
      </c>
      <c r="G107" s="28">
        <v>1</v>
      </c>
      <c r="H107" s="28">
        <v>0.01</v>
      </c>
      <c r="I107" s="28" t="s">
        <v>55</v>
      </c>
      <c r="J107" s="28">
        <v>0.5</v>
      </c>
      <c r="K107" s="28">
        <v>0.5</v>
      </c>
      <c r="L107" s="28">
        <v>25</v>
      </c>
      <c r="M107" s="28">
        <v>25016</v>
      </c>
      <c r="N107" s="28" t="s">
        <v>56</v>
      </c>
      <c r="O107" s="33" t="s">
        <v>57</v>
      </c>
      <c r="P107" s="28">
        <v>0</v>
      </c>
      <c r="Q107" s="28">
        <f t="shared" ref="Q107:Q110" si="41">ROUND(((D107*E107*F107*G107*H107*J107*L107*1000000*K107/3600)*(1-P107)),4)</f>
        <v>3.6499999999999998E-2</v>
      </c>
      <c r="R107" s="28">
        <f t="shared" ref="R107:R108" si="42">ROUND((D107*E107*F107*G107*H107*J107*K107*M107*(1-P107)),4)</f>
        <v>0.1313</v>
      </c>
    </row>
    <row r="108" spans="1:20" ht="38.25" x14ac:dyDescent="0.25">
      <c r="A108" s="849"/>
      <c r="B108" s="28" t="s">
        <v>541</v>
      </c>
      <c r="C108" s="31" t="s">
        <v>34</v>
      </c>
      <c r="D108" s="28">
        <v>0.05</v>
      </c>
      <c r="E108" s="28">
        <v>0.03</v>
      </c>
      <c r="F108" s="32">
        <v>1.4</v>
      </c>
      <c r="G108" s="28">
        <v>1</v>
      </c>
      <c r="H108" s="28">
        <v>0.01</v>
      </c>
      <c r="I108" s="28" t="s">
        <v>55</v>
      </c>
      <c r="J108" s="28">
        <v>0.5</v>
      </c>
      <c r="K108" s="28">
        <v>0.5</v>
      </c>
      <c r="L108" s="28">
        <v>5</v>
      </c>
      <c r="M108" s="28">
        <v>273</v>
      </c>
      <c r="N108" s="28" t="s">
        <v>56</v>
      </c>
      <c r="O108" s="33" t="s">
        <v>57</v>
      </c>
      <c r="P108" s="28">
        <v>0</v>
      </c>
      <c r="Q108" s="28">
        <f t="shared" si="41"/>
        <v>7.3000000000000001E-3</v>
      </c>
      <c r="R108" s="28">
        <f t="shared" si="42"/>
        <v>1.4E-3</v>
      </c>
    </row>
    <row r="109" spans="1:20" ht="38.25" x14ac:dyDescent="0.25">
      <c r="A109" s="849"/>
      <c r="B109" s="28" t="s">
        <v>542</v>
      </c>
      <c r="C109" s="31" t="s">
        <v>101</v>
      </c>
      <c r="D109" s="28">
        <v>0.02</v>
      </c>
      <c r="E109" s="28">
        <v>0.01</v>
      </c>
      <c r="F109" s="32">
        <v>1.4</v>
      </c>
      <c r="G109" s="28">
        <v>1</v>
      </c>
      <c r="H109" s="28">
        <v>0.01</v>
      </c>
      <c r="I109" s="28" t="s">
        <v>55</v>
      </c>
      <c r="J109" s="28">
        <v>0.4</v>
      </c>
      <c r="K109" s="28">
        <v>0.5</v>
      </c>
      <c r="L109" s="28">
        <v>5</v>
      </c>
      <c r="M109" s="28">
        <v>913</v>
      </c>
      <c r="N109" s="28" t="s">
        <v>56</v>
      </c>
      <c r="O109" s="33" t="s">
        <v>57</v>
      </c>
      <c r="P109" s="28">
        <v>0.8</v>
      </c>
      <c r="Q109" s="28">
        <f t="shared" si="41"/>
        <v>2.0000000000000001E-4</v>
      </c>
      <c r="R109" s="28">
        <f>ROUND((D109*E109*F109*G109*H109*J109*K109*M109*(1-P109)),5)</f>
        <v>1E-4</v>
      </c>
    </row>
    <row r="110" spans="1:20" ht="38.25" x14ac:dyDescent="0.25">
      <c r="A110" s="850"/>
      <c r="B110" s="28" t="s">
        <v>137</v>
      </c>
      <c r="C110" s="31" t="s">
        <v>138</v>
      </c>
      <c r="D110" s="28">
        <v>0.02</v>
      </c>
      <c r="E110" s="28">
        <v>0.01</v>
      </c>
      <c r="F110" s="32">
        <v>1.4</v>
      </c>
      <c r="G110" s="28">
        <v>1</v>
      </c>
      <c r="H110" s="28">
        <v>0.01</v>
      </c>
      <c r="I110" s="28" t="s">
        <v>55</v>
      </c>
      <c r="J110" s="28">
        <v>0.4</v>
      </c>
      <c r="K110" s="28">
        <v>0.5</v>
      </c>
      <c r="L110" s="28">
        <v>5</v>
      </c>
      <c r="M110" s="28">
        <v>773</v>
      </c>
      <c r="N110" s="28" t="s">
        <v>56</v>
      </c>
      <c r="O110" s="33" t="s">
        <v>57</v>
      </c>
      <c r="P110" s="28">
        <v>0.8</v>
      </c>
      <c r="Q110" s="28">
        <f t="shared" si="41"/>
        <v>2.0000000000000001E-4</v>
      </c>
      <c r="R110" s="28">
        <f t="shared" ref="R110" si="43">ROUND((D110*E110*F110*G110*H110*J110*K110*M110*(1-P110)),4)</f>
        <v>1E-4</v>
      </c>
    </row>
    <row r="111" spans="1:20" x14ac:dyDescent="0.25">
      <c r="A111" s="835" t="s">
        <v>58</v>
      </c>
      <c r="B111" s="836"/>
      <c r="C111" s="836"/>
      <c r="D111" s="836"/>
      <c r="E111" s="836"/>
      <c r="F111" s="836"/>
      <c r="G111" s="836"/>
      <c r="H111" s="836"/>
      <c r="I111" s="836"/>
      <c r="J111" s="836"/>
      <c r="K111" s="836"/>
      <c r="L111" s="836"/>
      <c r="M111" s="836"/>
      <c r="N111" s="836"/>
      <c r="O111" s="836"/>
      <c r="P111" s="836"/>
      <c r="Q111" s="836"/>
      <c r="R111" s="837"/>
    </row>
    <row r="112" spans="1:20" ht="38.25" x14ac:dyDescent="0.25">
      <c r="A112" s="806" t="s">
        <v>495</v>
      </c>
      <c r="B112" s="838"/>
      <c r="C112" s="838"/>
      <c r="D112" s="838"/>
      <c r="E112" s="838"/>
      <c r="F112" s="838"/>
      <c r="G112" s="838"/>
      <c r="H112" s="838"/>
      <c r="I112" s="838"/>
      <c r="J112" s="838"/>
      <c r="K112" s="838"/>
      <c r="L112" s="838"/>
      <c r="M112" s="839"/>
      <c r="N112" s="7" t="s">
        <v>56</v>
      </c>
      <c r="O112" s="327" t="s">
        <v>57</v>
      </c>
      <c r="P112" s="1"/>
      <c r="Q112" s="7">
        <f>MAX(Q110,Q108,Q107,Q109)</f>
        <v>3.6499999999999998E-2</v>
      </c>
      <c r="R112" s="7">
        <f>R108+R110+R107+R109</f>
        <v>0.13289999999999999</v>
      </c>
    </row>
    <row r="113" spans="1:22" x14ac:dyDescent="0.25">
      <c r="A113" s="781" t="s">
        <v>103</v>
      </c>
      <c r="B113" s="840"/>
      <c r="C113" s="840"/>
      <c r="D113" s="840"/>
      <c r="E113" s="840"/>
      <c r="F113" s="840"/>
      <c r="G113" s="840"/>
      <c r="H113" s="840"/>
      <c r="I113" s="840"/>
      <c r="J113" s="840"/>
      <c r="K113" s="840"/>
      <c r="L113" s="840"/>
      <c r="M113" s="840"/>
      <c r="N113" s="840"/>
      <c r="O113" s="840"/>
      <c r="P113" s="840"/>
      <c r="Q113" s="840"/>
      <c r="R113" s="841"/>
      <c r="S113" s="702">
        <f>Q94+Q96+Q98+Q105+Q112</f>
        <v>0.1028</v>
      </c>
      <c r="T113" s="703">
        <f>R94+R96+R98+R105+R112</f>
        <v>0.50302999999999998</v>
      </c>
      <c r="U113" s="701">
        <v>2028</v>
      </c>
    </row>
    <row r="114" spans="1:22" x14ac:dyDescent="0.25">
      <c r="A114" s="781" t="s">
        <v>104</v>
      </c>
      <c r="B114" s="840"/>
      <c r="C114" s="840"/>
      <c r="D114" s="840"/>
      <c r="E114" s="840"/>
      <c r="F114" s="840"/>
      <c r="G114" s="840"/>
      <c r="H114" s="840"/>
      <c r="I114" s="840"/>
      <c r="J114" s="840"/>
      <c r="K114" s="840"/>
      <c r="L114" s="840"/>
      <c r="M114" s="840"/>
      <c r="N114" s="840"/>
      <c r="O114" s="840"/>
      <c r="P114" s="840"/>
      <c r="Q114" s="840"/>
      <c r="R114" s="841"/>
    </row>
    <row r="115" spans="1:22" ht="38.25" x14ac:dyDescent="0.25">
      <c r="A115" s="830">
        <v>800403</v>
      </c>
      <c r="B115" s="310" t="s">
        <v>96</v>
      </c>
      <c r="C115" s="31" t="s">
        <v>34</v>
      </c>
      <c r="D115" s="28">
        <v>0.05</v>
      </c>
      <c r="E115" s="28">
        <v>0.03</v>
      </c>
      <c r="F115" s="32">
        <v>1.4</v>
      </c>
      <c r="G115" s="28">
        <v>1</v>
      </c>
      <c r="H115" s="28">
        <v>0.01</v>
      </c>
      <c r="I115" s="28" t="s">
        <v>55</v>
      </c>
      <c r="J115" s="28">
        <v>0.5</v>
      </c>
      <c r="K115" s="28">
        <v>0.5</v>
      </c>
      <c r="L115" s="28">
        <v>15</v>
      </c>
      <c r="M115" s="28">
        <f>(105650)*0.1*1.83</f>
        <v>19333.95</v>
      </c>
      <c r="N115" s="28" t="s">
        <v>56</v>
      </c>
      <c r="O115" s="33" t="s">
        <v>57</v>
      </c>
      <c r="P115" s="28">
        <v>0</v>
      </c>
      <c r="Q115" s="28">
        <f t="shared" ref="Q115:Q116" si="44">ROUND(((D115*E115*F115*G115*H115*J115*L115*1000000*K115/3600)*(1-P115)),4)</f>
        <v>2.1899999999999999E-2</v>
      </c>
      <c r="R115" s="28">
        <f t="shared" ref="R115:R116" si="45">ROUND((D115*E115*F115*G115*H115*J115*K115*M115*(1-P115)),4)</f>
        <v>0.10150000000000001</v>
      </c>
      <c r="T115" s="641" t="s">
        <v>273</v>
      </c>
    </row>
    <row r="116" spans="1:22" ht="51" x14ac:dyDescent="0.25">
      <c r="A116" s="842"/>
      <c r="B116" s="28" t="s">
        <v>675</v>
      </c>
      <c r="C116" s="31" t="s">
        <v>64</v>
      </c>
      <c r="D116" s="28">
        <v>0.02</v>
      </c>
      <c r="E116" s="28">
        <v>0.01</v>
      </c>
      <c r="F116" s="32">
        <v>1.4</v>
      </c>
      <c r="G116" s="28">
        <v>1</v>
      </c>
      <c r="H116" s="28">
        <v>0.01</v>
      </c>
      <c r="I116" s="28" t="s">
        <v>55</v>
      </c>
      <c r="J116" s="28">
        <v>0.2</v>
      </c>
      <c r="K116" s="28">
        <v>0.5</v>
      </c>
      <c r="L116" s="28">
        <v>400</v>
      </c>
      <c r="M116" s="28">
        <v>1192040</v>
      </c>
      <c r="N116" s="28" t="s">
        <v>56</v>
      </c>
      <c r="O116" s="33" t="s">
        <v>57</v>
      </c>
      <c r="P116" s="28">
        <v>0</v>
      </c>
      <c r="Q116" s="28">
        <f t="shared" si="44"/>
        <v>3.1099999999999999E-2</v>
      </c>
      <c r="R116" s="28">
        <f t="shared" si="45"/>
        <v>0.33379999999999999</v>
      </c>
      <c r="S116" s="91"/>
      <c r="T116" s="91" t="s">
        <v>674</v>
      </c>
    </row>
    <row r="117" spans="1:22" ht="51" x14ac:dyDescent="0.25">
      <c r="A117" s="844"/>
      <c r="B117" s="28" t="s">
        <v>99</v>
      </c>
      <c r="C117" s="31" t="s">
        <v>34</v>
      </c>
      <c r="D117" s="28">
        <v>0.05</v>
      </c>
      <c r="E117" s="28">
        <v>0.03</v>
      </c>
      <c r="F117" s="32">
        <v>1.4</v>
      </c>
      <c r="G117" s="28">
        <v>1</v>
      </c>
      <c r="H117" s="28">
        <v>0.01</v>
      </c>
      <c r="I117" s="28" t="s">
        <v>55</v>
      </c>
      <c r="J117" s="28">
        <v>0.5</v>
      </c>
      <c r="K117" s="28">
        <v>0.5</v>
      </c>
      <c r="L117" s="28">
        <v>30</v>
      </c>
      <c r="M117" s="28">
        <f>(158610)*0.1*1.83</f>
        <v>29025.63</v>
      </c>
      <c r="N117" s="28" t="s">
        <v>56</v>
      </c>
      <c r="O117" s="33" t="s">
        <v>57</v>
      </c>
      <c r="P117" s="28">
        <v>0</v>
      </c>
      <c r="Q117" s="28">
        <f t="shared" ref="Q117:Q118" si="46">ROUND(((D117*E117*F117*G117*H117*J117*L117*1000000*K117/3600)*(1-P117)),4)</f>
        <v>4.3799999999999999E-2</v>
      </c>
      <c r="R117" s="28">
        <f t="shared" ref="R117:R118" si="47">ROUND((D117*E117*F117*G117*H117*J117*K117*M117*(1-P117)),4)</f>
        <v>0.15240000000000001</v>
      </c>
      <c r="T117" s="641" t="s">
        <v>273</v>
      </c>
    </row>
    <row r="118" spans="1:22" ht="38.25" x14ac:dyDescent="0.25">
      <c r="A118" s="848"/>
      <c r="B118" s="28" t="s">
        <v>116</v>
      </c>
      <c r="C118" s="31" t="s">
        <v>677</v>
      </c>
      <c r="D118" s="28">
        <v>0.02</v>
      </c>
      <c r="E118" s="28">
        <v>0.01</v>
      </c>
      <c r="F118" s="32">
        <v>1.4</v>
      </c>
      <c r="G118" s="28">
        <v>1</v>
      </c>
      <c r="H118" s="28">
        <v>0.01</v>
      </c>
      <c r="I118" s="28" t="s">
        <v>55</v>
      </c>
      <c r="J118" s="28">
        <v>0.2</v>
      </c>
      <c r="K118" s="28">
        <v>0.5</v>
      </c>
      <c r="L118" s="28">
        <v>25</v>
      </c>
      <c r="M118" s="28">
        <v>20533</v>
      </c>
      <c r="N118" s="28" t="s">
        <v>56</v>
      </c>
      <c r="O118" s="33" t="s">
        <v>57</v>
      </c>
      <c r="P118" s="28">
        <v>0</v>
      </c>
      <c r="Q118" s="28">
        <f t="shared" si="46"/>
        <v>1.9E-3</v>
      </c>
      <c r="R118" s="28">
        <f t="shared" si="47"/>
        <v>5.7000000000000002E-3</v>
      </c>
    </row>
    <row r="119" spans="1:22" x14ac:dyDescent="0.25">
      <c r="A119" s="823" t="s">
        <v>58</v>
      </c>
      <c r="B119" s="824"/>
      <c r="C119" s="824"/>
      <c r="D119" s="824"/>
      <c r="E119" s="824"/>
      <c r="F119" s="824"/>
      <c r="G119" s="824"/>
      <c r="H119" s="824"/>
      <c r="I119" s="824"/>
      <c r="J119" s="824"/>
      <c r="K119" s="824"/>
      <c r="L119" s="824"/>
      <c r="M119" s="824"/>
      <c r="N119" s="824"/>
      <c r="O119" s="824"/>
      <c r="P119" s="824"/>
      <c r="Q119" s="824"/>
      <c r="R119" s="825"/>
    </row>
    <row r="120" spans="1:22" ht="38.25" x14ac:dyDescent="0.25">
      <c r="A120" s="797" t="s">
        <v>488</v>
      </c>
      <c r="B120" s="826"/>
      <c r="C120" s="826"/>
      <c r="D120" s="826"/>
      <c r="E120" s="826"/>
      <c r="F120" s="826"/>
      <c r="G120" s="826"/>
      <c r="H120" s="826"/>
      <c r="I120" s="826"/>
      <c r="J120" s="826"/>
      <c r="K120" s="826"/>
      <c r="L120" s="826"/>
      <c r="M120" s="827"/>
      <c r="N120" s="29" t="s">
        <v>56</v>
      </c>
      <c r="O120" s="30" t="s">
        <v>57</v>
      </c>
      <c r="P120" s="28"/>
      <c r="Q120" s="29">
        <f>MAX(Q115,Q116,Q117,Q118)</f>
        <v>4.3799999999999999E-2</v>
      </c>
      <c r="R120" s="29">
        <f>R115+R117+R118+R116</f>
        <v>0.59339999999999993</v>
      </c>
      <c r="S120" s="697">
        <f>Q120</f>
        <v>4.3799999999999999E-2</v>
      </c>
      <c r="T120" s="698">
        <f>R120</f>
        <v>0.59339999999999993</v>
      </c>
      <c r="U120" s="700">
        <v>2032</v>
      </c>
      <c r="V120" s="699"/>
    </row>
    <row r="121" spans="1:22" x14ac:dyDescent="0.25">
      <c r="A121" s="767" t="s">
        <v>105</v>
      </c>
      <c r="B121" s="821"/>
      <c r="C121" s="821"/>
      <c r="D121" s="821"/>
      <c r="E121" s="821"/>
      <c r="F121" s="821"/>
      <c r="G121" s="821"/>
      <c r="H121" s="821"/>
      <c r="I121" s="821"/>
      <c r="J121" s="821"/>
      <c r="K121" s="821"/>
      <c r="L121" s="821"/>
      <c r="M121" s="821"/>
      <c r="N121" s="821"/>
      <c r="O121" s="821"/>
      <c r="P121" s="821"/>
      <c r="Q121" s="821"/>
      <c r="R121" s="822"/>
    </row>
    <row r="122" spans="1:22" x14ac:dyDescent="0.25">
      <c r="A122" s="767" t="s">
        <v>104</v>
      </c>
      <c r="B122" s="821"/>
      <c r="C122" s="821"/>
      <c r="D122" s="821"/>
      <c r="E122" s="821"/>
      <c r="F122" s="821"/>
      <c r="G122" s="821"/>
      <c r="H122" s="821"/>
      <c r="I122" s="821"/>
      <c r="J122" s="821"/>
      <c r="K122" s="821"/>
      <c r="L122" s="821"/>
      <c r="M122" s="821"/>
      <c r="N122" s="821"/>
      <c r="O122" s="821"/>
      <c r="P122" s="821"/>
      <c r="Q122" s="821"/>
      <c r="R122" s="822"/>
    </row>
    <row r="123" spans="1:22" ht="38.25" x14ac:dyDescent="0.25">
      <c r="A123" s="830">
        <v>800403</v>
      </c>
      <c r="B123" s="28" t="s">
        <v>680</v>
      </c>
      <c r="C123" s="31" t="s">
        <v>677</v>
      </c>
      <c r="D123" s="28">
        <v>0.02</v>
      </c>
      <c r="E123" s="28">
        <v>0.01</v>
      </c>
      <c r="F123" s="32">
        <v>1.4</v>
      </c>
      <c r="G123" s="28">
        <v>1</v>
      </c>
      <c r="H123" s="28">
        <v>0.01</v>
      </c>
      <c r="I123" s="28" t="s">
        <v>55</v>
      </c>
      <c r="J123" s="28">
        <v>0.2</v>
      </c>
      <c r="K123" s="28">
        <v>0.5</v>
      </c>
      <c r="L123" s="28">
        <v>5</v>
      </c>
      <c r="M123" s="28">
        <v>6777</v>
      </c>
      <c r="N123" s="28" t="s">
        <v>56</v>
      </c>
      <c r="O123" s="33" t="s">
        <v>57</v>
      </c>
      <c r="P123" s="28">
        <v>0</v>
      </c>
      <c r="Q123" s="28">
        <f t="shared" ref="Q123:Q130" si="48">ROUND(((D123*E123*F123*G123*H123*J123*L123*1000000*K123/3600)*(1-P123)),4)</f>
        <v>4.0000000000000002E-4</v>
      </c>
      <c r="R123" s="28">
        <f t="shared" ref="R123:R130" si="49">ROUND((D123*E123*F123*G123*H123*J123*K123*M123*(1-P123)),4)</f>
        <v>1.9E-3</v>
      </c>
      <c r="T123" s="644"/>
      <c r="U123" s="645"/>
    </row>
    <row r="124" spans="1:22" ht="51" x14ac:dyDescent="0.25">
      <c r="A124" s="842"/>
      <c r="B124" s="28" t="s">
        <v>675</v>
      </c>
      <c r="C124" s="31" t="s">
        <v>64</v>
      </c>
      <c r="D124" s="28">
        <v>0.02</v>
      </c>
      <c r="E124" s="28">
        <v>0.01</v>
      </c>
      <c r="F124" s="32">
        <v>1.4</v>
      </c>
      <c r="G124" s="28">
        <v>1</v>
      </c>
      <c r="H124" s="28">
        <v>0.01</v>
      </c>
      <c r="I124" s="28" t="s">
        <v>55</v>
      </c>
      <c r="J124" s="28">
        <v>0.2</v>
      </c>
      <c r="K124" s="28">
        <v>0.5</v>
      </c>
      <c r="L124" s="28">
        <v>400</v>
      </c>
      <c r="M124" s="28">
        <v>794694</v>
      </c>
      <c r="N124" s="28" t="s">
        <v>56</v>
      </c>
      <c r="O124" s="33" t="s">
        <v>57</v>
      </c>
      <c r="P124" s="28">
        <v>0</v>
      </c>
      <c r="Q124" s="28">
        <f t="shared" si="48"/>
        <v>3.1099999999999999E-2</v>
      </c>
      <c r="R124" s="28">
        <f t="shared" si="49"/>
        <v>0.2225</v>
      </c>
      <c r="S124" s="91"/>
      <c r="T124" s="91" t="s">
        <v>674</v>
      </c>
    </row>
    <row r="125" spans="1:22" ht="51" x14ac:dyDescent="0.25">
      <c r="A125" s="842"/>
      <c r="B125" s="28" t="s">
        <v>99</v>
      </c>
      <c r="C125" s="31" t="s">
        <v>34</v>
      </c>
      <c r="D125" s="28">
        <v>0.05</v>
      </c>
      <c r="E125" s="28">
        <v>0.03</v>
      </c>
      <c r="F125" s="32">
        <v>1.4</v>
      </c>
      <c r="G125" s="28">
        <v>1</v>
      </c>
      <c r="H125" s="28">
        <v>0.01</v>
      </c>
      <c r="I125" s="28" t="s">
        <v>55</v>
      </c>
      <c r="J125" s="28">
        <v>0.5</v>
      </c>
      <c r="K125" s="28">
        <v>0.5</v>
      </c>
      <c r="L125" s="28">
        <v>30</v>
      </c>
      <c r="M125" s="28">
        <f>(105740)*0.1*1.83</f>
        <v>19350.420000000002</v>
      </c>
      <c r="N125" s="28" t="s">
        <v>56</v>
      </c>
      <c r="O125" s="33" t="s">
        <v>57</v>
      </c>
      <c r="P125" s="28">
        <v>0</v>
      </c>
      <c r="Q125" s="28">
        <f t="shared" si="48"/>
        <v>4.3799999999999999E-2</v>
      </c>
      <c r="R125" s="28">
        <f t="shared" si="49"/>
        <v>0.1016</v>
      </c>
      <c r="T125" s="641" t="s">
        <v>273</v>
      </c>
    </row>
    <row r="126" spans="1:22" ht="38.25" x14ac:dyDescent="0.25">
      <c r="A126" s="842"/>
      <c r="B126" s="28" t="s">
        <v>116</v>
      </c>
      <c r="C126" s="31" t="s">
        <v>677</v>
      </c>
      <c r="D126" s="28">
        <v>0.02</v>
      </c>
      <c r="E126" s="28">
        <v>0.01</v>
      </c>
      <c r="F126" s="32">
        <v>1.4</v>
      </c>
      <c r="G126" s="28">
        <v>1</v>
      </c>
      <c r="H126" s="28">
        <v>0.01</v>
      </c>
      <c r="I126" s="28" t="s">
        <v>55</v>
      </c>
      <c r="J126" s="28">
        <v>0.2</v>
      </c>
      <c r="K126" s="28">
        <v>0.5</v>
      </c>
      <c r="L126" s="28">
        <v>25</v>
      </c>
      <c r="M126" s="28">
        <v>13688</v>
      </c>
      <c r="N126" s="28" t="s">
        <v>56</v>
      </c>
      <c r="O126" s="33" t="s">
        <v>57</v>
      </c>
      <c r="P126" s="28">
        <v>0</v>
      </c>
      <c r="Q126" s="28">
        <f t="shared" si="48"/>
        <v>1.9E-3</v>
      </c>
      <c r="R126" s="28">
        <f t="shared" si="49"/>
        <v>3.8E-3</v>
      </c>
    </row>
    <row r="127" spans="1:22" ht="38.25" x14ac:dyDescent="0.25">
      <c r="A127" s="842"/>
      <c r="B127" s="28" t="s">
        <v>526</v>
      </c>
      <c r="C127" s="31" t="s">
        <v>101</v>
      </c>
      <c r="D127" s="28">
        <v>0.02</v>
      </c>
      <c r="E127" s="28">
        <v>0.01</v>
      </c>
      <c r="F127" s="32">
        <v>1.4</v>
      </c>
      <c r="G127" s="28">
        <v>1</v>
      </c>
      <c r="H127" s="28">
        <v>0.01</v>
      </c>
      <c r="I127" s="28" t="s">
        <v>55</v>
      </c>
      <c r="J127" s="28">
        <v>0.4</v>
      </c>
      <c r="K127" s="28">
        <v>0.5</v>
      </c>
      <c r="L127" s="28">
        <v>5</v>
      </c>
      <c r="M127" s="28">
        <v>4262</v>
      </c>
      <c r="N127" s="28" t="s">
        <v>56</v>
      </c>
      <c r="O127" s="33" t="s">
        <v>57</v>
      </c>
      <c r="P127" s="28">
        <v>0.8</v>
      </c>
      <c r="Q127" s="28">
        <f t="shared" si="48"/>
        <v>2.0000000000000001E-4</v>
      </c>
      <c r="R127" s="28">
        <f t="shared" si="49"/>
        <v>5.0000000000000001E-4</v>
      </c>
      <c r="S127" s="645"/>
      <c r="T127" s="645" t="s">
        <v>559</v>
      </c>
      <c r="U127" s="645"/>
      <c r="V127" s="645"/>
    </row>
    <row r="128" spans="1:22" ht="51" x14ac:dyDescent="0.25">
      <c r="A128" s="842"/>
      <c r="B128" s="28" t="s">
        <v>107</v>
      </c>
      <c r="C128" s="31" t="s">
        <v>136</v>
      </c>
      <c r="D128" s="28">
        <v>0.04</v>
      </c>
      <c r="E128" s="28">
        <v>0.02</v>
      </c>
      <c r="F128" s="32">
        <v>1.4</v>
      </c>
      <c r="G128" s="28">
        <v>1</v>
      </c>
      <c r="H128" s="28">
        <v>0.01</v>
      </c>
      <c r="I128" s="28" t="s">
        <v>55</v>
      </c>
      <c r="J128" s="28">
        <v>0.5</v>
      </c>
      <c r="K128" s="28">
        <v>0.5</v>
      </c>
      <c r="L128" s="28">
        <v>10</v>
      </c>
      <c r="M128" s="28">
        <v>14899</v>
      </c>
      <c r="N128" s="28" t="s">
        <v>56</v>
      </c>
      <c r="O128" s="33" t="s">
        <v>57</v>
      </c>
      <c r="P128" s="28">
        <v>0</v>
      </c>
      <c r="Q128" s="28">
        <f t="shared" si="48"/>
        <v>7.7999999999999996E-3</v>
      </c>
      <c r="R128" s="28">
        <f t="shared" si="49"/>
        <v>4.1700000000000001E-2</v>
      </c>
      <c r="S128" s="645"/>
      <c r="T128" s="645" t="s">
        <v>560</v>
      </c>
      <c r="U128" s="645"/>
      <c r="V128" s="645"/>
    </row>
    <row r="129" spans="1:23" ht="51" x14ac:dyDescent="0.25">
      <c r="A129" s="842"/>
      <c r="B129" s="28" t="s">
        <v>678</v>
      </c>
      <c r="C129" s="31" t="s">
        <v>64</v>
      </c>
      <c r="D129" s="28">
        <v>0.02</v>
      </c>
      <c r="E129" s="28">
        <v>0.01</v>
      </c>
      <c r="F129" s="32">
        <v>1.4</v>
      </c>
      <c r="G129" s="28">
        <v>1</v>
      </c>
      <c r="H129" s="28">
        <v>0.01</v>
      </c>
      <c r="I129" s="28" t="s">
        <v>55</v>
      </c>
      <c r="J129" s="28">
        <v>0.2</v>
      </c>
      <c r="K129" s="28">
        <v>0.5</v>
      </c>
      <c r="L129" s="28">
        <v>55</v>
      </c>
      <c r="M129" s="28">
        <v>92052</v>
      </c>
      <c r="N129" s="28" t="s">
        <v>56</v>
      </c>
      <c r="O129" s="33" t="s">
        <v>57</v>
      </c>
      <c r="P129" s="28">
        <v>0</v>
      </c>
      <c r="Q129" s="28">
        <f t="shared" si="48"/>
        <v>4.3E-3</v>
      </c>
      <c r="R129" s="28">
        <f t="shared" si="49"/>
        <v>2.58E-2</v>
      </c>
      <c r="S129" s="91"/>
      <c r="T129" s="91" t="s">
        <v>674</v>
      </c>
    </row>
    <row r="130" spans="1:23" ht="51" x14ac:dyDescent="0.25">
      <c r="A130" s="842"/>
      <c r="B130" s="28" t="s">
        <v>106</v>
      </c>
      <c r="C130" s="31" t="s">
        <v>101</v>
      </c>
      <c r="D130" s="28">
        <v>0.02</v>
      </c>
      <c r="E130" s="28">
        <v>0.01</v>
      </c>
      <c r="F130" s="32">
        <v>1.4</v>
      </c>
      <c r="G130" s="28">
        <v>1</v>
      </c>
      <c r="H130" s="28">
        <v>0.01</v>
      </c>
      <c r="I130" s="28" t="s">
        <v>55</v>
      </c>
      <c r="J130" s="28">
        <v>0.4</v>
      </c>
      <c r="K130" s="28">
        <v>0.5</v>
      </c>
      <c r="L130" s="28">
        <v>70</v>
      </c>
      <c r="M130" s="28">
        <v>105101</v>
      </c>
      <c r="N130" s="28" t="s">
        <v>56</v>
      </c>
      <c r="O130" s="33" t="s">
        <v>57</v>
      </c>
      <c r="P130" s="28">
        <v>0.8</v>
      </c>
      <c r="Q130" s="28">
        <f t="shared" si="48"/>
        <v>2.2000000000000001E-3</v>
      </c>
      <c r="R130" s="28">
        <f t="shared" si="49"/>
        <v>1.18E-2</v>
      </c>
      <c r="S130" s="645"/>
      <c r="T130" s="645"/>
      <c r="U130" s="645"/>
      <c r="V130" s="645"/>
    </row>
    <row r="131" spans="1:23" ht="38.25" x14ac:dyDescent="0.25">
      <c r="A131" s="846"/>
      <c r="B131" s="28" t="s">
        <v>528</v>
      </c>
      <c r="C131" s="31" t="s">
        <v>101</v>
      </c>
      <c r="D131" s="28">
        <v>0.02</v>
      </c>
      <c r="E131" s="28">
        <v>0.01</v>
      </c>
      <c r="F131" s="32">
        <v>1.4</v>
      </c>
      <c r="G131" s="28">
        <v>1</v>
      </c>
      <c r="H131" s="28">
        <v>0.01</v>
      </c>
      <c r="I131" s="28" t="s">
        <v>55</v>
      </c>
      <c r="J131" s="28">
        <v>0.4</v>
      </c>
      <c r="K131" s="28">
        <v>0.5</v>
      </c>
      <c r="L131" s="28">
        <v>5</v>
      </c>
      <c r="M131" s="28">
        <v>1943</v>
      </c>
      <c r="N131" s="28" t="s">
        <v>56</v>
      </c>
      <c r="O131" s="33" t="s">
        <v>57</v>
      </c>
      <c r="P131" s="28">
        <v>0.8</v>
      </c>
      <c r="Q131" s="28">
        <f t="shared" ref="Q131" si="50">ROUND(((D131*E131*F131*G131*H131*J131*L131*1000000*K131/3600)*(1-P131)),4)</f>
        <v>2.0000000000000001E-4</v>
      </c>
      <c r="R131" s="28">
        <f t="shared" ref="R131" si="51">ROUND((D131*E131*F131*G131*H131*J131*K131*M131*(1-P131)),4)</f>
        <v>2.0000000000000001E-4</v>
      </c>
    </row>
    <row r="132" spans="1:23" x14ac:dyDescent="0.25">
      <c r="A132" s="823" t="s">
        <v>58</v>
      </c>
      <c r="B132" s="824"/>
      <c r="C132" s="824"/>
      <c r="D132" s="824"/>
      <c r="E132" s="824"/>
      <c r="F132" s="824"/>
      <c r="G132" s="824"/>
      <c r="H132" s="824"/>
      <c r="I132" s="824"/>
      <c r="J132" s="824"/>
      <c r="K132" s="824"/>
      <c r="L132" s="824"/>
      <c r="M132" s="824"/>
      <c r="N132" s="824"/>
      <c r="O132" s="824"/>
      <c r="P132" s="824"/>
      <c r="Q132" s="824"/>
      <c r="R132" s="825"/>
    </row>
    <row r="133" spans="1:23" ht="38.25" x14ac:dyDescent="0.25">
      <c r="A133" s="797" t="s">
        <v>488</v>
      </c>
      <c r="B133" s="826"/>
      <c r="C133" s="826"/>
      <c r="D133" s="826"/>
      <c r="E133" s="826"/>
      <c r="F133" s="826"/>
      <c r="G133" s="826"/>
      <c r="H133" s="826"/>
      <c r="I133" s="826"/>
      <c r="J133" s="826"/>
      <c r="K133" s="826"/>
      <c r="L133" s="826"/>
      <c r="M133" s="827"/>
      <c r="N133" s="29" t="s">
        <v>56</v>
      </c>
      <c r="O133" s="30" t="s">
        <v>57</v>
      </c>
      <c r="P133" s="28"/>
      <c r="Q133" s="29">
        <f>MAX(Q123,Q124,Q125,Q126,Q129,Q127,Q128,Q130,Q131)</f>
        <v>4.3799999999999999E-2</v>
      </c>
      <c r="R133" s="29">
        <f>R123+R127+R128+R130+R131+R124+R125+R126+R129</f>
        <v>0.4098</v>
      </c>
      <c r="S133" s="697">
        <f>Q133</f>
        <v>4.3799999999999999E-2</v>
      </c>
      <c r="T133" s="698">
        <f>R133</f>
        <v>0.4098</v>
      </c>
      <c r="U133" s="700">
        <v>2033</v>
      </c>
    </row>
    <row r="134" spans="1:23" x14ac:dyDescent="0.25">
      <c r="A134" s="781" t="s">
        <v>109</v>
      </c>
      <c r="B134" s="840"/>
      <c r="C134" s="840"/>
      <c r="D134" s="840"/>
      <c r="E134" s="840"/>
      <c r="F134" s="840"/>
      <c r="G134" s="840"/>
      <c r="H134" s="840"/>
      <c r="I134" s="840"/>
      <c r="J134" s="840"/>
      <c r="K134" s="840"/>
      <c r="L134" s="840"/>
      <c r="M134" s="840"/>
      <c r="N134" s="840"/>
      <c r="O134" s="840"/>
      <c r="P134" s="840"/>
      <c r="Q134" s="840"/>
      <c r="R134" s="841"/>
    </row>
    <row r="135" spans="1:23" x14ac:dyDescent="0.25">
      <c r="A135" s="781" t="s">
        <v>110</v>
      </c>
      <c r="B135" s="840"/>
      <c r="C135" s="840"/>
      <c r="D135" s="840"/>
      <c r="E135" s="840"/>
      <c r="F135" s="840"/>
      <c r="G135" s="840"/>
      <c r="H135" s="840"/>
      <c r="I135" s="840"/>
      <c r="J135" s="840"/>
      <c r="K135" s="840"/>
      <c r="L135" s="840"/>
      <c r="M135" s="840"/>
      <c r="N135" s="840"/>
      <c r="O135" s="840"/>
      <c r="P135" s="840"/>
      <c r="Q135" s="840"/>
      <c r="R135" s="841"/>
    </row>
    <row r="136" spans="1:23" ht="38.25" x14ac:dyDescent="0.25">
      <c r="A136" s="830">
        <v>800403</v>
      </c>
      <c r="B136" s="310" t="s">
        <v>96</v>
      </c>
      <c r="C136" s="31" t="s">
        <v>34</v>
      </c>
      <c r="D136" s="28">
        <v>0.05</v>
      </c>
      <c r="E136" s="28">
        <v>0.03</v>
      </c>
      <c r="F136" s="32">
        <v>1.4</v>
      </c>
      <c r="G136" s="28">
        <v>1</v>
      </c>
      <c r="H136" s="28">
        <v>0.01</v>
      </c>
      <c r="I136" s="28" t="s">
        <v>55</v>
      </c>
      <c r="J136" s="28">
        <v>0.5</v>
      </c>
      <c r="K136" s="28">
        <v>0.5</v>
      </c>
      <c r="L136" s="28">
        <v>15</v>
      </c>
      <c r="M136" s="28">
        <f>(90950)*0.1*1.83</f>
        <v>16643.850000000002</v>
      </c>
      <c r="N136" s="28" t="s">
        <v>56</v>
      </c>
      <c r="O136" s="33" t="s">
        <v>57</v>
      </c>
      <c r="P136" s="28">
        <v>0</v>
      </c>
      <c r="Q136" s="28">
        <f t="shared" ref="Q136:Q138" si="52">ROUND(((D136*E136*F136*G136*H136*J136*L136*1000000*K136/3600)*(1-P136)),4)</f>
        <v>2.1899999999999999E-2</v>
      </c>
      <c r="R136" s="28">
        <f t="shared" ref="R136:R138" si="53">ROUND((D136*E136*F136*G136*H136*J136*K136*M136*(1-P136)),4)</f>
        <v>8.7400000000000005E-2</v>
      </c>
      <c r="S136" s="91"/>
      <c r="T136" s="91" t="s">
        <v>273</v>
      </c>
    </row>
    <row r="137" spans="1:23" ht="51" x14ac:dyDescent="0.25">
      <c r="A137" s="842"/>
      <c r="B137" s="28" t="s">
        <v>675</v>
      </c>
      <c r="C137" s="31" t="s">
        <v>64</v>
      </c>
      <c r="D137" s="28">
        <v>0.02</v>
      </c>
      <c r="E137" s="28">
        <v>0.01</v>
      </c>
      <c r="F137" s="32">
        <v>1.4</v>
      </c>
      <c r="G137" s="28">
        <v>1</v>
      </c>
      <c r="H137" s="28">
        <v>0.01</v>
      </c>
      <c r="I137" s="28" t="s">
        <v>55</v>
      </c>
      <c r="J137" s="28">
        <v>0.2</v>
      </c>
      <c r="K137" s="28">
        <v>0.5</v>
      </c>
      <c r="L137" s="28">
        <v>400</v>
      </c>
      <c r="M137" s="28">
        <v>1186122</v>
      </c>
      <c r="N137" s="28" t="s">
        <v>56</v>
      </c>
      <c r="O137" s="33" t="s">
        <v>57</v>
      </c>
      <c r="P137" s="28">
        <v>0</v>
      </c>
      <c r="Q137" s="28">
        <f t="shared" si="52"/>
        <v>3.1099999999999999E-2</v>
      </c>
      <c r="R137" s="28">
        <f t="shared" si="53"/>
        <v>0.33210000000000001</v>
      </c>
      <c r="S137" s="91"/>
      <c r="T137" s="91" t="s">
        <v>674</v>
      </c>
    </row>
    <row r="138" spans="1:23" ht="51" x14ac:dyDescent="0.25">
      <c r="A138" s="845"/>
      <c r="B138" s="28" t="s">
        <v>99</v>
      </c>
      <c r="C138" s="31" t="s">
        <v>34</v>
      </c>
      <c r="D138" s="28">
        <v>0.05</v>
      </c>
      <c r="E138" s="28">
        <v>0.03</v>
      </c>
      <c r="F138" s="32">
        <v>1.4</v>
      </c>
      <c r="G138" s="28">
        <v>1</v>
      </c>
      <c r="H138" s="28">
        <v>0.01</v>
      </c>
      <c r="I138" s="28" t="s">
        <v>55</v>
      </c>
      <c r="J138" s="28">
        <v>0.5</v>
      </c>
      <c r="K138" s="28">
        <v>0.5</v>
      </c>
      <c r="L138" s="28">
        <v>20</v>
      </c>
      <c r="M138" s="28">
        <f>(177650)*0.1*1.83</f>
        <v>32509.95</v>
      </c>
      <c r="N138" s="28" t="s">
        <v>56</v>
      </c>
      <c r="O138" s="33" t="s">
        <v>57</v>
      </c>
      <c r="P138" s="28">
        <v>0</v>
      </c>
      <c r="Q138" s="28">
        <f t="shared" si="52"/>
        <v>2.92E-2</v>
      </c>
      <c r="R138" s="28">
        <f t="shared" si="53"/>
        <v>0.17069999999999999</v>
      </c>
      <c r="S138" s="91"/>
      <c r="T138" s="91" t="s">
        <v>273</v>
      </c>
    </row>
    <row r="139" spans="1:23" x14ac:dyDescent="0.25">
      <c r="A139" s="823" t="s">
        <v>58</v>
      </c>
      <c r="B139" s="824"/>
      <c r="C139" s="824"/>
      <c r="D139" s="824"/>
      <c r="E139" s="824"/>
      <c r="F139" s="824"/>
      <c r="G139" s="824"/>
      <c r="H139" s="824"/>
      <c r="I139" s="824"/>
      <c r="J139" s="824"/>
      <c r="K139" s="824"/>
      <c r="L139" s="824"/>
      <c r="M139" s="824"/>
      <c r="N139" s="824"/>
      <c r="O139" s="824"/>
      <c r="P139" s="824"/>
      <c r="Q139" s="824"/>
      <c r="R139" s="825"/>
    </row>
    <row r="140" spans="1:23" ht="38.25" x14ac:dyDescent="0.25">
      <c r="A140" s="797" t="s">
        <v>488</v>
      </c>
      <c r="B140" s="826"/>
      <c r="C140" s="826"/>
      <c r="D140" s="826"/>
      <c r="E140" s="826"/>
      <c r="F140" s="826"/>
      <c r="G140" s="826"/>
      <c r="H140" s="826"/>
      <c r="I140" s="826"/>
      <c r="J140" s="826"/>
      <c r="K140" s="826"/>
      <c r="L140" s="826"/>
      <c r="M140" s="827"/>
      <c r="N140" s="29" t="s">
        <v>56</v>
      </c>
      <c r="O140" s="30" t="s">
        <v>57</v>
      </c>
      <c r="P140" s="28"/>
      <c r="Q140" s="29">
        <f>MAX(Q136,Q137,Q138)</f>
        <v>3.1099999999999999E-2</v>
      </c>
      <c r="R140" s="29">
        <f>R136+R138+R137</f>
        <v>0.59020000000000006</v>
      </c>
      <c r="S140" s="697">
        <f>Q140</f>
        <v>3.1099999999999999E-2</v>
      </c>
      <c r="T140" s="698">
        <f>R140</f>
        <v>0.59020000000000006</v>
      </c>
      <c r="U140" s="700">
        <v>2037</v>
      </c>
    </row>
    <row r="141" spans="1:23" x14ac:dyDescent="0.25">
      <c r="A141" s="767" t="s">
        <v>111</v>
      </c>
      <c r="B141" s="821"/>
      <c r="C141" s="821"/>
      <c r="D141" s="821"/>
      <c r="E141" s="821"/>
      <c r="F141" s="821"/>
      <c r="G141" s="821"/>
      <c r="H141" s="821"/>
      <c r="I141" s="821"/>
      <c r="J141" s="821"/>
      <c r="K141" s="821"/>
      <c r="L141" s="821"/>
      <c r="M141" s="821"/>
      <c r="N141" s="821"/>
      <c r="O141" s="821"/>
      <c r="P141" s="821"/>
      <c r="Q141" s="821"/>
      <c r="R141" s="822"/>
    </row>
    <row r="142" spans="1:23" x14ac:dyDescent="0.25">
      <c r="A142" s="767" t="s">
        <v>110</v>
      </c>
      <c r="B142" s="821"/>
      <c r="C142" s="821"/>
      <c r="D142" s="821"/>
      <c r="E142" s="821"/>
      <c r="F142" s="821"/>
      <c r="G142" s="821"/>
      <c r="H142" s="821"/>
      <c r="I142" s="821"/>
      <c r="J142" s="821"/>
      <c r="K142" s="821"/>
      <c r="L142" s="821"/>
      <c r="M142" s="821"/>
      <c r="N142" s="821"/>
      <c r="O142" s="821"/>
      <c r="P142" s="821"/>
      <c r="Q142" s="821"/>
      <c r="R142" s="822"/>
    </row>
    <row r="143" spans="1:23" ht="51" x14ac:dyDescent="0.25">
      <c r="A143" s="830">
        <v>800403</v>
      </c>
      <c r="B143" s="28" t="s">
        <v>675</v>
      </c>
      <c r="C143" s="31" t="s">
        <v>64</v>
      </c>
      <c r="D143" s="28">
        <v>0.02</v>
      </c>
      <c r="E143" s="28">
        <v>0.01</v>
      </c>
      <c r="F143" s="32">
        <v>1.4</v>
      </c>
      <c r="G143" s="28">
        <v>1</v>
      </c>
      <c r="H143" s="28">
        <v>0.01</v>
      </c>
      <c r="I143" s="28" t="s">
        <v>55</v>
      </c>
      <c r="J143" s="28">
        <v>0.2</v>
      </c>
      <c r="K143" s="28">
        <v>0.5</v>
      </c>
      <c r="L143" s="28">
        <v>400</v>
      </c>
      <c r="M143" s="28">
        <v>1186122</v>
      </c>
      <c r="N143" s="28" t="s">
        <v>56</v>
      </c>
      <c r="O143" s="33" t="s">
        <v>57</v>
      </c>
      <c r="P143" s="28">
        <v>0</v>
      </c>
      <c r="Q143" s="28">
        <f t="shared" ref="Q143" si="54">ROUND(((D143*E143*F143*G143*H143*J143*L143*1000000*K143/3600)*(1-P143)),4)</f>
        <v>3.1099999999999999E-2</v>
      </c>
      <c r="R143" s="28">
        <f t="shared" ref="R143" si="55">ROUND((D143*E143*F143*G143*H143*J143*K143*M143*(1-P143)),4)</f>
        <v>0.33210000000000001</v>
      </c>
      <c r="S143" s="91"/>
      <c r="T143" s="91" t="s">
        <v>674</v>
      </c>
      <c r="V143" s="86"/>
      <c r="W143" s="86"/>
    </row>
    <row r="144" spans="1:23" ht="51" x14ac:dyDescent="0.25">
      <c r="A144" s="842"/>
      <c r="B144" s="28" t="s">
        <v>99</v>
      </c>
      <c r="C144" s="31" t="s">
        <v>34</v>
      </c>
      <c r="D144" s="28">
        <v>0.05</v>
      </c>
      <c r="E144" s="28">
        <v>0.03</v>
      </c>
      <c r="F144" s="32">
        <v>1.4</v>
      </c>
      <c r="G144" s="28">
        <v>1</v>
      </c>
      <c r="H144" s="28">
        <v>0.01</v>
      </c>
      <c r="I144" s="28" t="s">
        <v>55</v>
      </c>
      <c r="J144" s="28">
        <v>0.5</v>
      </c>
      <c r="K144" s="28">
        <v>0.5</v>
      </c>
      <c r="L144" s="28">
        <v>20</v>
      </c>
      <c r="M144" s="28">
        <f>(177650)*0.1*1.83</f>
        <v>32509.95</v>
      </c>
      <c r="N144" s="28" t="s">
        <v>56</v>
      </c>
      <c r="O144" s="33" t="s">
        <v>57</v>
      </c>
      <c r="P144" s="28">
        <v>0</v>
      </c>
      <c r="Q144" s="28">
        <f>ROUND(((D144*E144*F144*G144*H144*J144*L144*1000000*K144/3600)*(1-P144)),4)</f>
        <v>2.92E-2</v>
      </c>
      <c r="R144" s="28">
        <f>ROUND((D144*E144*F144*G144*H144*J144*K144*M144*(1-P144)),4)</f>
        <v>0.17069999999999999</v>
      </c>
      <c r="T144" s="91" t="s">
        <v>273</v>
      </c>
    </row>
    <row r="145" spans="1:26" ht="38.25" x14ac:dyDescent="0.25">
      <c r="A145" s="844"/>
      <c r="B145" s="28" t="s">
        <v>116</v>
      </c>
      <c r="C145" s="31" t="s">
        <v>677</v>
      </c>
      <c r="D145" s="28">
        <v>0.02</v>
      </c>
      <c r="E145" s="28">
        <v>0.01</v>
      </c>
      <c r="F145" s="32">
        <v>1.4</v>
      </c>
      <c r="G145" s="28">
        <v>1</v>
      </c>
      <c r="H145" s="28">
        <v>0.01</v>
      </c>
      <c r="I145" s="28" t="s">
        <v>55</v>
      </c>
      <c r="J145" s="28">
        <v>0.2</v>
      </c>
      <c r="K145" s="28">
        <v>0.5</v>
      </c>
      <c r="L145" s="28">
        <v>25</v>
      </c>
      <c r="M145" s="28">
        <v>35511</v>
      </c>
      <c r="N145" s="28" t="s">
        <v>56</v>
      </c>
      <c r="O145" s="33" t="s">
        <v>57</v>
      </c>
      <c r="P145" s="28">
        <v>0</v>
      </c>
      <c r="Q145" s="28">
        <f t="shared" ref="Q145:Q151" si="56">ROUND(((D145*E145*F145*G145*H145*J145*L145*1000000*K145/3600)*(1-P145)),4)</f>
        <v>1.9E-3</v>
      </c>
      <c r="R145" s="28">
        <f t="shared" ref="R145:R151" si="57">ROUND((D145*E145*F145*G145*H145*J145*K145*M145*(1-P145)),4)</f>
        <v>9.9000000000000008E-3</v>
      </c>
      <c r="T145" s="91"/>
    </row>
    <row r="146" spans="1:26" ht="38.25" x14ac:dyDescent="0.25">
      <c r="A146" s="844"/>
      <c r="B146" s="28" t="s">
        <v>117</v>
      </c>
      <c r="C146" s="31" t="s">
        <v>677</v>
      </c>
      <c r="D146" s="28">
        <v>0.02</v>
      </c>
      <c r="E146" s="28">
        <v>0.01</v>
      </c>
      <c r="F146" s="32">
        <v>1.4</v>
      </c>
      <c r="G146" s="28">
        <v>1</v>
      </c>
      <c r="H146" s="28">
        <v>0.01</v>
      </c>
      <c r="I146" s="28" t="s">
        <v>55</v>
      </c>
      <c r="J146" s="28">
        <v>0.2</v>
      </c>
      <c r="K146" s="28">
        <v>0.5</v>
      </c>
      <c r="L146" s="28">
        <v>10</v>
      </c>
      <c r="M146" s="28">
        <v>2127</v>
      </c>
      <c r="N146" s="28" t="s">
        <v>56</v>
      </c>
      <c r="O146" s="33" t="s">
        <v>57</v>
      </c>
      <c r="P146" s="28">
        <v>0</v>
      </c>
      <c r="Q146" s="28">
        <f t="shared" ref="Q146" si="58">ROUND(((D146*E146*F146*G146*H146*J146*L146*1000000*K146/3600)*(1-P146)),4)</f>
        <v>8.0000000000000004E-4</v>
      </c>
      <c r="R146" s="28">
        <f t="shared" ref="R146" si="59">ROUND((D146*E146*F146*G146*H146*J146*K146*M146*(1-P146)),4)</f>
        <v>5.9999999999999995E-4</v>
      </c>
      <c r="T146" s="91"/>
    </row>
    <row r="147" spans="1:26" ht="51" x14ac:dyDescent="0.25">
      <c r="A147" s="844"/>
      <c r="B147" s="28" t="s">
        <v>108</v>
      </c>
      <c r="C147" s="31" t="s">
        <v>101</v>
      </c>
      <c r="D147" s="28">
        <v>0.02</v>
      </c>
      <c r="E147" s="28">
        <v>0.01</v>
      </c>
      <c r="F147" s="32">
        <v>1.4</v>
      </c>
      <c r="G147" s="28">
        <v>1</v>
      </c>
      <c r="H147" s="28">
        <v>0.01</v>
      </c>
      <c r="I147" s="28" t="s">
        <v>55</v>
      </c>
      <c r="J147" s="28">
        <v>0.4</v>
      </c>
      <c r="K147" s="28">
        <v>0.5</v>
      </c>
      <c r="L147" s="28">
        <v>5</v>
      </c>
      <c r="M147" s="28">
        <v>8067</v>
      </c>
      <c r="N147" s="28" t="s">
        <v>56</v>
      </c>
      <c r="O147" s="33" t="s">
        <v>57</v>
      </c>
      <c r="P147" s="28">
        <v>0.8</v>
      </c>
      <c r="Q147" s="28">
        <f t="shared" si="56"/>
        <v>2.0000000000000001E-4</v>
      </c>
      <c r="R147" s="28">
        <f t="shared" si="57"/>
        <v>8.9999999999999998E-4</v>
      </c>
      <c r="T147" s="91" t="s">
        <v>559</v>
      </c>
    </row>
    <row r="148" spans="1:26" ht="51" x14ac:dyDescent="0.25">
      <c r="A148" s="844"/>
      <c r="B148" s="28" t="s">
        <v>107</v>
      </c>
      <c r="C148" s="31" t="s">
        <v>136</v>
      </c>
      <c r="D148" s="28">
        <v>0.04</v>
      </c>
      <c r="E148" s="28">
        <v>0.02</v>
      </c>
      <c r="F148" s="32">
        <v>1.4</v>
      </c>
      <c r="G148" s="28">
        <v>1</v>
      </c>
      <c r="H148" s="28">
        <v>0.01</v>
      </c>
      <c r="I148" s="28" t="s">
        <v>55</v>
      </c>
      <c r="J148" s="28">
        <v>0.5</v>
      </c>
      <c r="K148" s="28">
        <v>0.5</v>
      </c>
      <c r="L148" s="28">
        <v>10</v>
      </c>
      <c r="M148" s="28">
        <v>15501</v>
      </c>
      <c r="N148" s="28" t="s">
        <v>56</v>
      </c>
      <c r="O148" s="33" t="s">
        <v>57</v>
      </c>
      <c r="P148" s="28">
        <v>0</v>
      </c>
      <c r="Q148" s="28">
        <f t="shared" si="56"/>
        <v>7.7999999999999996E-3</v>
      </c>
      <c r="R148" s="28">
        <f t="shared" si="57"/>
        <v>4.3400000000000001E-2</v>
      </c>
      <c r="T148" s="91" t="s">
        <v>560</v>
      </c>
    </row>
    <row r="149" spans="1:26" ht="51" x14ac:dyDescent="0.25">
      <c r="A149" s="844"/>
      <c r="B149" s="28" t="s">
        <v>678</v>
      </c>
      <c r="C149" s="31" t="s">
        <v>64</v>
      </c>
      <c r="D149" s="28">
        <v>0.02</v>
      </c>
      <c r="E149" s="28">
        <v>0.01</v>
      </c>
      <c r="F149" s="32">
        <v>1.4</v>
      </c>
      <c r="G149" s="28">
        <v>1</v>
      </c>
      <c r="H149" s="28">
        <v>0.01</v>
      </c>
      <c r="I149" s="28" t="s">
        <v>55</v>
      </c>
      <c r="J149" s="28">
        <v>0.2</v>
      </c>
      <c r="K149" s="28">
        <v>0.5</v>
      </c>
      <c r="L149" s="28">
        <v>55</v>
      </c>
      <c r="M149" s="28">
        <v>122488</v>
      </c>
      <c r="N149" s="28" t="s">
        <v>56</v>
      </c>
      <c r="O149" s="33" t="s">
        <v>57</v>
      </c>
      <c r="P149" s="28">
        <v>0</v>
      </c>
      <c r="Q149" s="28">
        <f t="shared" si="56"/>
        <v>4.3E-3</v>
      </c>
      <c r="R149" s="28">
        <f t="shared" si="57"/>
        <v>3.4299999999999997E-2</v>
      </c>
      <c r="S149" s="91"/>
      <c r="T149" s="91" t="s">
        <v>674</v>
      </c>
    </row>
    <row r="150" spans="1:26" ht="51" x14ac:dyDescent="0.25">
      <c r="A150" s="844"/>
      <c r="B150" s="28" t="s">
        <v>681</v>
      </c>
      <c r="C150" s="31" t="s">
        <v>64</v>
      </c>
      <c r="D150" s="28">
        <v>0.02</v>
      </c>
      <c r="E150" s="28">
        <v>0.01</v>
      </c>
      <c r="F150" s="32">
        <v>1.4</v>
      </c>
      <c r="G150" s="28">
        <v>1</v>
      </c>
      <c r="H150" s="28">
        <v>0.01</v>
      </c>
      <c r="I150" s="28" t="s">
        <v>55</v>
      </c>
      <c r="J150" s="28">
        <v>0.2</v>
      </c>
      <c r="K150" s="28">
        <v>0.5</v>
      </c>
      <c r="L150" s="28">
        <v>5</v>
      </c>
      <c r="M150" s="28">
        <v>5365</v>
      </c>
      <c r="N150" s="28" t="s">
        <v>56</v>
      </c>
      <c r="O150" s="33" t="s">
        <v>57</v>
      </c>
      <c r="P150" s="28">
        <v>0</v>
      </c>
      <c r="Q150" s="28">
        <f t="shared" ref="Q150" si="60">ROUND(((D150*E150*F150*G150*H150*J150*L150*1000000*K150/3600)*(1-P150)),4)</f>
        <v>4.0000000000000002E-4</v>
      </c>
      <c r="R150" s="28">
        <f t="shared" ref="R150" si="61">ROUND((D150*E150*F150*G150*H150*J150*K150*M150*(1-P150)),4)</f>
        <v>1.5E-3</v>
      </c>
      <c r="S150" s="91"/>
      <c r="T150" s="91" t="s">
        <v>674</v>
      </c>
    </row>
    <row r="151" spans="1:26" ht="51" x14ac:dyDescent="0.25">
      <c r="A151" s="844"/>
      <c r="B151" s="28" t="s">
        <v>106</v>
      </c>
      <c r="C151" s="31" t="s">
        <v>101</v>
      </c>
      <c r="D151" s="28">
        <v>0.02</v>
      </c>
      <c r="E151" s="28">
        <v>0.01</v>
      </c>
      <c r="F151" s="32">
        <v>1.4</v>
      </c>
      <c r="G151" s="28">
        <v>1</v>
      </c>
      <c r="H151" s="28">
        <v>0.01</v>
      </c>
      <c r="I151" s="28" t="s">
        <v>55</v>
      </c>
      <c r="J151" s="28">
        <v>0.4</v>
      </c>
      <c r="K151" s="28">
        <v>0.5</v>
      </c>
      <c r="L151" s="28">
        <v>70</v>
      </c>
      <c r="M151" s="28">
        <v>130962</v>
      </c>
      <c r="N151" s="28" t="s">
        <v>56</v>
      </c>
      <c r="O151" s="33" t="s">
        <v>57</v>
      </c>
      <c r="P151" s="28">
        <v>0.8</v>
      </c>
      <c r="Q151" s="28">
        <f t="shared" si="56"/>
        <v>2.2000000000000001E-3</v>
      </c>
      <c r="R151" s="28">
        <f t="shared" si="57"/>
        <v>1.47E-2</v>
      </c>
    </row>
    <row r="152" spans="1:26" x14ac:dyDescent="0.25">
      <c r="A152" s="823" t="s">
        <v>58</v>
      </c>
      <c r="B152" s="824"/>
      <c r="C152" s="824"/>
      <c r="D152" s="824"/>
      <c r="E152" s="824"/>
      <c r="F152" s="824"/>
      <c r="G152" s="824"/>
      <c r="H152" s="824"/>
      <c r="I152" s="824"/>
      <c r="J152" s="824"/>
      <c r="K152" s="824"/>
      <c r="L152" s="824"/>
      <c r="M152" s="824"/>
      <c r="N152" s="824"/>
      <c r="O152" s="824"/>
      <c r="P152" s="824"/>
      <c r="Q152" s="824"/>
      <c r="R152" s="825"/>
    </row>
    <row r="153" spans="1:26" ht="38.25" x14ac:dyDescent="0.25">
      <c r="A153" s="797" t="s">
        <v>488</v>
      </c>
      <c r="B153" s="826"/>
      <c r="C153" s="826"/>
      <c r="D153" s="826"/>
      <c r="E153" s="826"/>
      <c r="F153" s="826"/>
      <c r="G153" s="826"/>
      <c r="H153" s="826"/>
      <c r="I153" s="826"/>
      <c r="J153" s="826"/>
      <c r="K153" s="826"/>
      <c r="L153" s="826"/>
      <c r="M153" s="827"/>
      <c r="N153" s="29" t="s">
        <v>56</v>
      </c>
      <c r="O153" s="30" t="s">
        <v>57</v>
      </c>
      <c r="P153" s="28"/>
      <c r="Q153" s="29">
        <f>MAX(Q143,Q145,Q147,Q148,Q149,Q150,Q151,Q144,Q146)</f>
        <v>3.1099999999999999E-2</v>
      </c>
      <c r="R153" s="29">
        <f>R144+R145+R147+R148+R151+R146+R143+R149+R150</f>
        <v>0.60809999999999997</v>
      </c>
      <c r="S153" s="697">
        <f>Q153</f>
        <v>3.1099999999999999E-2</v>
      </c>
      <c r="T153" s="698">
        <f>R153</f>
        <v>0.60809999999999997</v>
      </c>
      <c r="U153" s="700">
        <v>2038</v>
      </c>
    </row>
    <row r="154" spans="1:26" x14ac:dyDescent="0.25">
      <c r="A154" s="767" t="s">
        <v>112</v>
      </c>
      <c r="B154" s="821"/>
      <c r="C154" s="821"/>
      <c r="D154" s="821"/>
      <c r="E154" s="821"/>
      <c r="F154" s="821"/>
      <c r="G154" s="821"/>
      <c r="H154" s="821"/>
      <c r="I154" s="821"/>
      <c r="J154" s="821"/>
      <c r="K154" s="821"/>
      <c r="L154" s="821"/>
      <c r="M154" s="821"/>
      <c r="N154" s="821"/>
      <c r="O154" s="821"/>
      <c r="P154" s="821"/>
      <c r="Q154" s="821"/>
      <c r="R154" s="822"/>
    </row>
    <row r="155" spans="1:26" x14ac:dyDescent="0.25">
      <c r="A155" s="767" t="s">
        <v>113</v>
      </c>
      <c r="B155" s="821"/>
      <c r="C155" s="821"/>
      <c r="D155" s="821"/>
      <c r="E155" s="821"/>
      <c r="F155" s="821"/>
      <c r="G155" s="821"/>
      <c r="H155" s="821"/>
      <c r="I155" s="821"/>
      <c r="J155" s="821"/>
      <c r="K155" s="821"/>
      <c r="L155" s="821"/>
      <c r="M155" s="821"/>
      <c r="N155" s="821"/>
      <c r="O155" s="821"/>
      <c r="P155" s="821"/>
      <c r="Q155" s="821"/>
      <c r="R155" s="822"/>
    </row>
    <row r="156" spans="1:26" ht="38.25" x14ac:dyDescent="0.25">
      <c r="A156" s="828">
        <v>800403</v>
      </c>
      <c r="B156" s="310" t="s">
        <v>96</v>
      </c>
      <c r="C156" s="31" t="s">
        <v>34</v>
      </c>
      <c r="D156" s="28">
        <v>0.05</v>
      </c>
      <c r="E156" s="28">
        <v>0.03</v>
      </c>
      <c r="F156" s="32">
        <v>1.4</v>
      </c>
      <c r="G156" s="28">
        <v>1</v>
      </c>
      <c r="H156" s="28">
        <v>0.01</v>
      </c>
      <c r="I156" s="28" t="s">
        <v>55</v>
      </c>
      <c r="J156" s="28">
        <v>0.5</v>
      </c>
      <c r="K156" s="28">
        <v>0.5</v>
      </c>
      <c r="L156" s="28">
        <v>15</v>
      </c>
      <c r="M156" s="28">
        <f>(95500)*0.1*1.83</f>
        <v>17476.5</v>
      </c>
      <c r="N156" s="28" t="s">
        <v>56</v>
      </c>
      <c r="O156" s="33" t="s">
        <v>57</v>
      </c>
      <c r="P156" s="28">
        <v>0</v>
      </c>
      <c r="Q156" s="28">
        <f t="shared" ref="Q156:Q157" si="62">ROUND(((D156*E156*F156*G156*H156*J156*L156*1000000*K156/3600)*(1-P156)),4)</f>
        <v>2.1899999999999999E-2</v>
      </c>
      <c r="R156" s="28">
        <f t="shared" ref="R156:R157" si="63">ROUND((D156*E156*F156*G156*H156*J156*K156*M156*(1-P156)),4)</f>
        <v>9.1800000000000007E-2</v>
      </c>
      <c r="S156" s="643">
        <f>Q156</f>
        <v>2.1899999999999999E-2</v>
      </c>
      <c r="T156" s="643">
        <f>R156</f>
        <v>9.1800000000000007E-2</v>
      </c>
      <c r="U156" s="91" t="s">
        <v>273</v>
      </c>
      <c r="Z156" s="91"/>
    </row>
    <row r="157" spans="1:26" ht="51" x14ac:dyDescent="0.25">
      <c r="A157" s="829"/>
      <c r="B157" s="28" t="s">
        <v>675</v>
      </c>
      <c r="C157" s="31" t="s">
        <v>64</v>
      </c>
      <c r="D157" s="28">
        <v>0.02</v>
      </c>
      <c r="E157" s="28">
        <v>0.01</v>
      </c>
      <c r="F157" s="32">
        <v>1.4</v>
      </c>
      <c r="G157" s="28">
        <v>1</v>
      </c>
      <c r="H157" s="28">
        <v>0.01</v>
      </c>
      <c r="I157" s="28" t="s">
        <v>55</v>
      </c>
      <c r="J157" s="28">
        <v>0.2</v>
      </c>
      <c r="K157" s="28">
        <v>0.5</v>
      </c>
      <c r="L157" s="28">
        <v>450</v>
      </c>
      <c r="M157" s="28">
        <v>1311536</v>
      </c>
      <c r="N157" s="28" t="s">
        <v>56</v>
      </c>
      <c r="O157" s="33" t="s">
        <v>57</v>
      </c>
      <c r="P157" s="28">
        <v>0</v>
      </c>
      <c r="Q157" s="28">
        <f t="shared" si="62"/>
        <v>3.5000000000000003E-2</v>
      </c>
      <c r="R157" s="28">
        <f t="shared" si="63"/>
        <v>0.36720000000000003</v>
      </c>
      <c r="S157" s="91"/>
      <c r="T157" s="91" t="s">
        <v>674</v>
      </c>
      <c r="Z157" s="91"/>
    </row>
    <row r="158" spans="1:26" x14ac:dyDescent="0.25">
      <c r="A158" s="823" t="s">
        <v>58</v>
      </c>
      <c r="B158" s="824"/>
      <c r="C158" s="824"/>
      <c r="D158" s="824"/>
      <c r="E158" s="824"/>
      <c r="F158" s="824"/>
      <c r="G158" s="824"/>
      <c r="H158" s="824"/>
      <c r="I158" s="824"/>
      <c r="J158" s="824"/>
      <c r="K158" s="824"/>
      <c r="L158" s="824"/>
      <c r="M158" s="824"/>
      <c r="N158" s="824"/>
      <c r="O158" s="824"/>
      <c r="P158" s="824"/>
      <c r="Q158" s="824"/>
      <c r="R158" s="825"/>
      <c r="S158" s="643"/>
      <c r="T158" s="643"/>
      <c r="Z158" s="91"/>
    </row>
    <row r="159" spans="1:26" ht="38.25" x14ac:dyDescent="0.25">
      <c r="A159" s="797" t="s">
        <v>488</v>
      </c>
      <c r="B159" s="826"/>
      <c r="C159" s="826"/>
      <c r="D159" s="826"/>
      <c r="E159" s="826"/>
      <c r="F159" s="826"/>
      <c r="G159" s="826"/>
      <c r="H159" s="826"/>
      <c r="I159" s="826"/>
      <c r="J159" s="826"/>
      <c r="K159" s="826"/>
      <c r="L159" s="826"/>
      <c r="M159" s="827"/>
      <c r="N159" s="29" t="s">
        <v>56</v>
      </c>
      <c r="O159" s="30" t="s">
        <v>57</v>
      </c>
      <c r="P159" s="28"/>
      <c r="Q159" s="29">
        <f>MAX(Q156,Q157)</f>
        <v>3.5000000000000003E-2</v>
      </c>
      <c r="R159" s="29">
        <f>R156+R157</f>
        <v>0.45900000000000002</v>
      </c>
      <c r="S159" s="697">
        <f>Q159</f>
        <v>3.5000000000000003E-2</v>
      </c>
      <c r="T159" s="698">
        <f>R159</f>
        <v>0.45900000000000002</v>
      </c>
      <c r="U159" s="700">
        <v>2042</v>
      </c>
      <c r="Z159" s="91"/>
    </row>
    <row r="160" spans="1:26" x14ac:dyDescent="0.25">
      <c r="A160" s="767" t="s">
        <v>114</v>
      </c>
      <c r="B160" s="821"/>
      <c r="C160" s="821"/>
      <c r="D160" s="821"/>
      <c r="E160" s="821"/>
      <c r="F160" s="821"/>
      <c r="G160" s="821"/>
      <c r="H160" s="821"/>
      <c r="I160" s="821"/>
      <c r="J160" s="821"/>
      <c r="K160" s="821"/>
      <c r="L160" s="821"/>
      <c r="M160" s="821"/>
      <c r="N160" s="821"/>
      <c r="O160" s="821"/>
      <c r="P160" s="821"/>
      <c r="Q160" s="821"/>
      <c r="R160" s="822"/>
      <c r="Z160" s="91"/>
    </row>
    <row r="161" spans="1:26" x14ac:dyDescent="0.25">
      <c r="A161" s="767" t="s">
        <v>113</v>
      </c>
      <c r="B161" s="821"/>
      <c r="C161" s="821"/>
      <c r="D161" s="821"/>
      <c r="E161" s="821"/>
      <c r="F161" s="821"/>
      <c r="G161" s="821"/>
      <c r="H161" s="821"/>
      <c r="I161" s="821"/>
      <c r="J161" s="821"/>
      <c r="K161" s="821"/>
      <c r="L161" s="821"/>
      <c r="M161" s="821"/>
      <c r="N161" s="821"/>
      <c r="O161" s="821"/>
      <c r="P161" s="821"/>
      <c r="Q161" s="821"/>
      <c r="R161" s="822"/>
      <c r="Z161" s="91"/>
    </row>
    <row r="162" spans="1:26" ht="51" x14ac:dyDescent="0.25">
      <c r="A162" s="828">
        <v>800403</v>
      </c>
      <c r="B162" s="28" t="s">
        <v>675</v>
      </c>
      <c r="C162" s="31" t="s">
        <v>64</v>
      </c>
      <c r="D162" s="28">
        <v>0.02</v>
      </c>
      <c r="E162" s="28">
        <v>0.01</v>
      </c>
      <c r="F162" s="32">
        <v>1.4</v>
      </c>
      <c r="G162" s="28">
        <v>1</v>
      </c>
      <c r="H162" s="28">
        <v>0.01</v>
      </c>
      <c r="I162" s="28" t="s">
        <v>55</v>
      </c>
      <c r="J162" s="28">
        <v>0.2</v>
      </c>
      <c r="K162" s="28">
        <v>0.5</v>
      </c>
      <c r="L162" s="28">
        <v>450</v>
      </c>
      <c r="M162" s="28">
        <v>1639422</v>
      </c>
      <c r="N162" s="28" t="s">
        <v>56</v>
      </c>
      <c r="O162" s="33" t="s">
        <v>57</v>
      </c>
      <c r="P162" s="28">
        <v>0</v>
      </c>
      <c r="Q162" s="28">
        <f t="shared" ref="Q162" si="64">ROUND(((D162*E162*F162*G162*H162*J162*L162*1000000*K162/3600)*(1-P162)),4)</f>
        <v>3.5000000000000003E-2</v>
      </c>
      <c r="R162" s="28">
        <f t="shared" ref="R162" si="65">ROUND((D162*E162*F162*G162*H162*J162*K162*M162*(1-P162)),4)</f>
        <v>0.45900000000000002</v>
      </c>
      <c r="S162" s="91"/>
      <c r="T162" s="91" t="s">
        <v>674</v>
      </c>
      <c r="Z162" s="91"/>
    </row>
    <row r="163" spans="1:26" ht="51" x14ac:dyDescent="0.25">
      <c r="A163" s="829"/>
      <c r="B163" s="28" t="s">
        <v>99</v>
      </c>
      <c r="C163" s="31" t="s">
        <v>34</v>
      </c>
      <c r="D163" s="28">
        <v>0.05</v>
      </c>
      <c r="E163" s="28">
        <v>0.03</v>
      </c>
      <c r="F163" s="32">
        <v>1.4</v>
      </c>
      <c r="G163" s="28">
        <v>1</v>
      </c>
      <c r="H163" s="28">
        <v>0.01</v>
      </c>
      <c r="I163" s="28" t="s">
        <v>55</v>
      </c>
      <c r="J163" s="28">
        <v>0.5</v>
      </c>
      <c r="K163" s="28">
        <v>0.5</v>
      </c>
      <c r="L163" s="28">
        <v>30</v>
      </c>
      <c r="M163" s="28">
        <f>(214425)*0.1*1.83</f>
        <v>39239.775000000001</v>
      </c>
      <c r="N163" s="28" t="s">
        <v>56</v>
      </c>
      <c r="O163" s="33" t="s">
        <v>57</v>
      </c>
      <c r="P163" s="28">
        <v>0</v>
      </c>
      <c r="Q163" s="28">
        <f>ROUND(((D163*E163*F163*G163*H163*J163*L163*1000000*K163/3600)*(1-P163)),4)</f>
        <v>4.3799999999999999E-2</v>
      </c>
      <c r="R163" s="28">
        <f>ROUND((D163*E163*F163*G163*H163*J163*K163*M163*(1-P163)),4)</f>
        <v>0.20599999999999999</v>
      </c>
      <c r="S163" s="643"/>
      <c r="T163" s="643"/>
      <c r="U163" s="91" t="s">
        <v>273</v>
      </c>
      <c r="Z163" s="91"/>
    </row>
    <row r="164" spans="1:26" x14ac:dyDescent="0.25">
      <c r="A164" s="823" t="s">
        <v>58</v>
      </c>
      <c r="B164" s="824"/>
      <c r="C164" s="824"/>
      <c r="D164" s="824"/>
      <c r="E164" s="824"/>
      <c r="F164" s="824"/>
      <c r="G164" s="824"/>
      <c r="H164" s="824"/>
      <c r="I164" s="824"/>
      <c r="J164" s="824"/>
      <c r="K164" s="824"/>
      <c r="L164" s="824"/>
      <c r="M164" s="824"/>
      <c r="N164" s="824"/>
      <c r="O164" s="824"/>
      <c r="P164" s="824"/>
      <c r="Q164" s="824"/>
      <c r="R164" s="825"/>
      <c r="S164" s="643"/>
      <c r="T164" s="643"/>
      <c r="Z164" s="91"/>
    </row>
    <row r="165" spans="1:26" ht="38.25" x14ac:dyDescent="0.25">
      <c r="A165" s="797" t="s">
        <v>488</v>
      </c>
      <c r="B165" s="826"/>
      <c r="C165" s="826"/>
      <c r="D165" s="826"/>
      <c r="E165" s="826"/>
      <c r="F165" s="826"/>
      <c r="G165" s="826"/>
      <c r="H165" s="826"/>
      <c r="I165" s="826"/>
      <c r="J165" s="826"/>
      <c r="K165" s="826"/>
      <c r="L165" s="826"/>
      <c r="M165" s="827"/>
      <c r="N165" s="29" t="s">
        <v>56</v>
      </c>
      <c r="O165" s="30" t="s">
        <v>57</v>
      </c>
      <c r="P165" s="28"/>
      <c r="Q165" s="29">
        <f>MAX(Q162,Q163)</f>
        <v>4.3799999999999999E-2</v>
      </c>
      <c r="R165" s="29">
        <f>R162+R163</f>
        <v>0.66500000000000004</v>
      </c>
      <c r="S165" s="697">
        <f>Q165</f>
        <v>4.3799999999999999E-2</v>
      </c>
      <c r="T165" s="698">
        <f>R165</f>
        <v>0.66500000000000004</v>
      </c>
      <c r="U165" s="700">
        <v>2043</v>
      </c>
      <c r="Z165" s="91"/>
    </row>
    <row r="166" spans="1:26" x14ac:dyDescent="0.25">
      <c r="A166" s="767" t="s">
        <v>115</v>
      </c>
      <c r="B166" s="821"/>
      <c r="C166" s="821"/>
      <c r="D166" s="821"/>
      <c r="E166" s="821"/>
      <c r="F166" s="821"/>
      <c r="G166" s="821"/>
      <c r="H166" s="821"/>
      <c r="I166" s="821"/>
      <c r="J166" s="821"/>
      <c r="K166" s="821"/>
      <c r="L166" s="821"/>
      <c r="M166" s="821"/>
      <c r="N166" s="821"/>
      <c r="O166" s="821"/>
      <c r="P166" s="821"/>
      <c r="Q166" s="821"/>
      <c r="R166" s="822"/>
    </row>
    <row r="167" spans="1:26" x14ac:dyDescent="0.25">
      <c r="A167" s="767" t="s">
        <v>113</v>
      </c>
      <c r="B167" s="821"/>
      <c r="C167" s="821"/>
      <c r="D167" s="821"/>
      <c r="E167" s="821"/>
      <c r="F167" s="821"/>
      <c r="G167" s="821"/>
      <c r="H167" s="821"/>
      <c r="I167" s="821"/>
      <c r="J167" s="821"/>
      <c r="K167" s="821"/>
      <c r="L167" s="821"/>
      <c r="M167" s="821"/>
      <c r="N167" s="821"/>
      <c r="O167" s="821"/>
      <c r="P167" s="821"/>
      <c r="Q167" s="821"/>
      <c r="R167" s="822"/>
    </row>
    <row r="168" spans="1:26" ht="38.25" x14ac:dyDescent="0.25">
      <c r="A168" s="830">
        <v>800403</v>
      </c>
      <c r="B168" s="28" t="s">
        <v>116</v>
      </c>
      <c r="C168" s="31" t="s">
        <v>677</v>
      </c>
      <c r="D168" s="28">
        <v>0.02</v>
      </c>
      <c r="E168" s="28">
        <v>0.01</v>
      </c>
      <c r="F168" s="32">
        <v>1.4</v>
      </c>
      <c r="G168" s="28">
        <v>1</v>
      </c>
      <c r="H168" s="28">
        <v>0.01</v>
      </c>
      <c r="I168" s="28" t="s">
        <v>55</v>
      </c>
      <c r="J168" s="28">
        <v>0.2</v>
      </c>
      <c r="K168" s="28">
        <v>0.5</v>
      </c>
      <c r="L168" s="28">
        <v>20</v>
      </c>
      <c r="M168" s="28">
        <v>36802</v>
      </c>
      <c r="N168" s="28" t="s">
        <v>56</v>
      </c>
      <c r="O168" s="33" t="s">
        <v>57</v>
      </c>
      <c r="P168" s="28">
        <v>0</v>
      </c>
      <c r="Q168" s="28">
        <f t="shared" ref="Q168:Q175" si="66">ROUND(((D168*E168*F168*G168*H168*J168*L168*1000000*K168/3600)*(1-P168)),4)</f>
        <v>1.6000000000000001E-3</v>
      </c>
      <c r="R168" s="28">
        <f t="shared" ref="R168:R175" si="67">ROUND((D168*E168*F168*G168*H168*J168*K168*M168*(1-P168)),4)</f>
        <v>1.03E-2</v>
      </c>
    </row>
    <row r="169" spans="1:26" ht="51" x14ac:dyDescent="0.25">
      <c r="A169" s="842"/>
      <c r="B169" s="28" t="s">
        <v>675</v>
      </c>
      <c r="C169" s="31" t="s">
        <v>64</v>
      </c>
      <c r="D169" s="28">
        <v>0.02</v>
      </c>
      <c r="E169" s="28">
        <v>0.01</v>
      </c>
      <c r="F169" s="32">
        <v>1.4</v>
      </c>
      <c r="G169" s="28">
        <v>1</v>
      </c>
      <c r="H169" s="28">
        <v>0.01</v>
      </c>
      <c r="I169" s="28" t="s">
        <v>55</v>
      </c>
      <c r="J169" s="28">
        <v>0.2</v>
      </c>
      <c r="K169" s="28">
        <v>0.5</v>
      </c>
      <c r="L169" s="28">
        <v>250</v>
      </c>
      <c r="M169" s="28">
        <v>327884</v>
      </c>
      <c r="N169" s="28" t="s">
        <v>56</v>
      </c>
      <c r="O169" s="33" t="s">
        <v>57</v>
      </c>
      <c r="P169" s="28">
        <v>0</v>
      </c>
      <c r="Q169" s="28">
        <f t="shared" si="66"/>
        <v>1.9400000000000001E-2</v>
      </c>
      <c r="R169" s="28">
        <f t="shared" si="67"/>
        <v>9.1800000000000007E-2</v>
      </c>
      <c r="S169" s="91"/>
      <c r="T169" s="91" t="s">
        <v>674</v>
      </c>
    </row>
    <row r="170" spans="1:26" ht="51" x14ac:dyDescent="0.25">
      <c r="A170" s="842"/>
      <c r="B170" s="28" t="s">
        <v>99</v>
      </c>
      <c r="C170" s="31" t="s">
        <v>34</v>
      </c>
      <c r="D170" s="28">
        <v>0.05</v>
      </c>
      <c r="E170" s="28">
        <v>0.03</v>
      </c>
      <c r="F170" s="32">
        <v>1.4</v>
      </c>
      <c r="G170" s="28">
        <v>1</v>
      </c>
      <c r="H170" s="28">
        <v>0.01</v>
      </c>
      <c r="I170" s="28" t="s">
        <v>55</v>
      </c>
      <c r="J170" s="28">
        <v>0.5</v>
      </c>
      <c r="K170" s="28">
        <v>0.5</v>
      </c>
      <c r="L170" s="28">
        <v>30</v>
      </c>
      <c r="M170" s="28">
        <f>(214425)*0.1*1.83</f>
        <v>39239.775000000001</v>
      </c>
      <c r="N170" s="28" t="s">
        <v>56</v>
      </c>
      <c r="O170" s="33" t="s">
        <v>57</v>
      </c>
      <c r="P170" s="28">
        <v>0</v>
      </c>
      <c r="Q170" s="28">
        <f>ROUND(((D170*E170*F170*G170*H170*J170*L170*1000000*K170/3600)*(1-P170)),4)</f>
        <v>4.3799999999999999E-2</v>
      </c>
      <c r="R170" s="28">
        <f>ROUND((D170*E170*F170*G170*H170*J170*K170*M170*(1-P170)),4)</f>
        <v>0.20599999999999999</v>
      </c>
      <c r="S170" s="643"/>
      <c r="T170" s="643"/>
      <c r="U170" s="91" t="s">
        <v>273</v>
      </c>
    </row>
    <row r="171" spans="1:26" ht="51" x14ac:dyDescent="0.25">
      <c r="A171" s="842"/>
      <c r="B171" s="28" t="s">
        <v>678</v>
      </c>
      <c r="C171" s="31" t="s">
        <v>64</v>
      </c>
      <c r="D171" s="28">
        <v>0.02</v>
      </c>
      <c r="E171" s="28">
        <v>0.01</v>
      </c>
      <c r="F171" s="32">
        <v>1.4</v>
      </c>
      <c r="G171" s="28">
        <v>1</v>
      </c>
      <c r="H171" s="28">
        <v>0.01</v>
      </c>
      <c r="I171" s="28" t="s">
        <v>55</v>
      </c>
      <c r="J171" s="28">
        <v>0.2</v>
      </c>
      <c r="K171" s="28">
        <v>0.5</v>
      </c>
      <c r="L171" s="28">
        <v>105</v>
      </c>
      <c r="M171" s="28">
        <v>153639</v>
      </c>
      <c r="N171" s="28" t="s">
        <v>56</v>
      </c>
      <c r="O171" s="33" t="s">
        <v>57</v>
      </c>
      <c r="P171" s="28">
        <v>0</v>
      </c>
      <c r="Q171" s="28">
        <f t="shared" ref="Q171" si="68">ROUND(((D171*E171*F171*G171*H171*J171*L171*1000000*K171/3600)*(1-P171)),4)</f>
        <v>8.2000000000000007E-3</v>
      </c>
      <c r="R171" s="28">
        <f t="shared" ref="R171" si="69">ROUND((D171*E171*F171*G171*H171*J171*K171*M171*(1-P171)),4)</f>
        <v>4.2999999999999997E-2</v>
      </c>
      <c r="S171" s="91"/>
      <c r="T171" s="91" t="s">
        <v>674</v>
      </c>
    </row>
    <row r="172" spans="1:26" ht="38.25" x14ac:dyDescent="0.25">
      <c r="A172" s="842"/>
      <c r="B172" s="28" t="s">
        <v>117</v>
      </c>
      <c r="C172" s="31" t="s">
        <v>677</v>
      </c>
      <c r="D172" s="28">
        <v>0.02</v>
      </c>
      <c r="E172" s="28">
        <v>0.01</v>
      </c>
      <c r="F172" s="32">
        <v>1.4</v>
      </c>
      <c r="G172" s="28">
        <v>1</v>
      </c>
      <c r="H172" s="28">
        <v>0.01</v>
      </c>
      <c r="I172" s="28" t="s">
        <v>55</v>
      </c>
      <c r="J172" s="28">
        <v>0.2</v>
      </c>
      <c r="K172" s="28">
        <v>0.5</v>
      </c>
      <c r="L172" s="28">
        <v>10</v>
      </c>
      <c r="M172" s="28">
        <v>2310</v>
      </c>
      <c r="N172" s="28" t="s">
        <v>56</v>
      </c>
      <c r="O172" s="33" t="s">
        <v>57</v>
      </c>
      <c r="P172" s="28">
        <v>0</v>
      </c>
      <c r="Q172" s="28">
        <f t="shared" ref="Q172" si="70">ROUND(((D172*E172*F172*G172*H172*J172*L172*1000000*K172/3600)*(1-P172)),4)</f>
        <v>8.0000000000000004E-4</v>
      </c>
      <c r="R172" s="28">
        <f t="shared" ref="R172" si="71">ROUND((D172*E172*F172*G172*H172*J172*K172*M172*(1-P172)),4)</f>
        <v>5.9999999999999995E-4</v>
      </c>
      <c r="V172" s="453"/>
    </row>
    <row r="173" spans="1:26" ht="51" x14ac:dyDescent="0.25">
      <c r="A173" s="845"/>
      <c r="B173" s="28" t="s">
        <v>108</v>
      </c>
      <c r="C173" s="31" t="s">
        <v>101</v>
      </c>
      <c r="D173" s="28">
        <v>0.02</v>
      </c>
      <c r="E173" s="28">
        <v>0.01</v>
      </c>
      <c r="F173" s="32">
        <v>1.4</v>
      </c>
      <c r="G173" s="28">
        <v>1</v>
      </c>
      <c r="H173" s="28">
        <v>0.01</v>
      </c>
      <c r="I173" s="28" t="s">
        <v>55</v>
      </c>
      <c r="J173" s="28">
        <v>0.4</v>
      </c>
      <c r="K173" s="28">
        <v>0.5</v>
      </c>
      <c r="L173" s="28">
        <v>5</v>
      </c>
      <c r="M173" s="28">
        <v>10175</v>
      </c>
      <c r="N173" s="28" t="s">
        <v>56</v>
      </c>
      <c r="O173" s="33" t="s">
        <v>57</v>
      </c>
      <c r="P173" s="28">
        <v>0.8</v>
      </c>
      <c r="Q173" s="28">
        <f t="shared" si="66"/>
        <v>2.0000000000000001E-4</v>
      </c>
      <c r="R173" s="28">
        <f t="shared" si="67"/>
        <v>1.1000000000000001E-3</v>
      </c>
      <c r="S173" s="91"/>
      <c r="T173" s="91" t="s">
        <v>559</v>
      </c>
    </row>
    <row r="174" spans="1:26" ht="63.75" x14ac:dyDescent="0.25">
      <c r="A174" s="845"/>
      <c r="B174" s="28" t="s">
        <v>118</v>
      </c>
      <c r="C174" s="31" t="s">
        <v>136</v>
      </c>
      <c r="D174" s="28">
        <v>0.04</v>
      </c>
      <c r="E174" s="28">
        <v>0.02</v>
      </c>
      <c r="F174" s="32">
        <v>1.4</v>
      </c>
      <c r="G174" s="28">
        <v>1</v>
      </c>
      <c r="H174" s="28">
        <v>0.01</v>
      </c>
      <c r="I174" s="28" t="s">
        <v>55</v>
      </c>
      <c r="J174" s="28">
        <v>0.5</v>
      </c>
      <c r="K174" s="28">
        <v>0.5</v>
      </c>
      <c r="L174" s="28">
        <v>10</v>
      </c>
      <c r="M174" s="28">
        <v>16120</v>
      </c>
      <c r="N174" s="28" t="s">
        <v>56</v>
      </c>
      <c r="O174" s="33" t="s">
        <v>57</v>
      </c>
      <c r="P174" s="28">
        <v>0</v>
      </c>
      <c r="Q174" s="28">
        <f t="shared" si="66"/>
        <v>7.7999999999999996E-3</v>
      </c>
      <c r="R174" s="28">
        <f t="shared" si="67"/>
        <v>4.5100000000000001E-2</v>
      </c>
      <c r="S174" s="91"/>
      <c r="T174" s="91" t="s">
        <v>560</v>
      </c>
    </row>
    <row r="175" spans="1:26" ht="51" x14ac:dyDescent="0.25">
      <c r="A175" s="845"/>
      <c r="B175" s="28" t="s">
        <v>106</v>
      </c>
      <c r="C175" s="31" t="s">
        <v>101</v>
      </c>
      <c r="D175" s="28">
        <v>0.02</v>
      </c>
      <c r="E175" s="28">
        <v>0.01</v>
      </c>
      <c r="F175" s="32">
        <v>1.4</v>
      </c>
      <c r="G175" s="28">
        <v>1</v>
      </c>
      <c r="H175" s="28">
        <v>0.01</v>
      </c>
      <c r="I175" s="28" t="s">
        <v>55</v>
      </c>
      <c r="J175" s="28">
        <v>0.4</v>
      </c>
      <c r="K175" s="28">
        <v>0.5</v>
      </c>
      <c r="L175" s="28">
        <v>70</v>
      </c>
      <c r="M175" s="28">
        <v>78635</v>
      </c>
      <c r="N175" s="28" t="s">
        <v>56</v>
      </c>
      <c r="O175" s="33" t="s">
        <v>57</v>
      </c>
      <c r="P175" s="28">
        <v>0.8</v>
      </c>
      <c r="Q175" s="28">
        <f t="shared" si="66"/>
        <v>2.2000000000000001E-3</v>
      </c>
      <c r="R175" s="28">
        <f t="shared" si="67"/>
        <v>8.8000000000000005E-3</v>
      </c>
    </row>
    <row r="176" spans="1:26" x14ac:dyDescent="0.25">
      <c r="A176" s="823" t="s">
        <v>58</v>
      </c>
      <c r="B176" s="824"/>
      <c r="C176" s="824"/>
      <c r="D176" s="824"/>
      <c r="E176" s="824"/>
      <c r="F176" s="824"/>
      <c r="G176" s="824"/>
      <c r="H176" s="824"/>
      <c r="I176" s="824"/>
      <c r="J176" s="824"/>
      <c r="K176" s="824"/>
      <c r="L176" s="824"/>
      <c r="M176" s="824"/>
      <c r="N176" s="824"/>
      <c r="O176" s="824"/>
      <c r="P176" s="824"/>
      <c r="Q176" s="824"/>
      <c r="R176" s="825"/>
    </row>
    <row r="177" spans="1:26" ht="38.25" x14ac:dyDescent="0.25">
      <c r="A177" s="797" t="s">
        <v>488</v>
      </c>
      <c r="B177" s="826"/>
      <c r="C177" s="826"/>
      <c r="D177" s="826"/>
      <c r="E177" s="826"/>
      <c r="F177" s="826"/>
      <c r="G177" s="826"/>
      <c r="H177" s="826"/>
      <c r="I177" s="826"/>
      <c r="J177" s="826"/>
      <c r="K177" s="826"/>
      <c r="L177" s="826"/>
      <c r="M177" s="827"/>
      <c r="N177" s="29" t="s">
        <v>56</v>
      </c>
      <c r="O177" s="30" t="s">
        <v>57</v>
      </c>
      <c r="P177" s="28"/>
      <c r="Q177" s="29">
        <f>MAX(Q168,Q169,Q170,Q171,Q172,Q173,Q174,Q175)</f>
        <v>4.3799999999999999E-2</v>
      </c>
      <c r="R177" s="29">
        <f>R174+R175+R168+R72+R173+R169+R170+R171+R172</f>
        <v>0.40669999999999995</v>
      </c>
      <c r="S177" s="697">
        <f>Q177</f>
        <v>4.3799999999999999E-2</v>
      </c>
      <c r="T177" s="698">
        <f>R177</f>
        <v>0.40669999999999995</v>
      </c>
      <c r="U177" s="700">
        <v>2044</v>
      </c>
    </row>
    <row r="178" spans="1:26" x14ac:dyDescent="0.25">
      <c r="A178" s="767" t="s">
        <v>119</v>
      </c>
      <c r="B178" s="821"/>
      <c r="C178" s="821"/>
      <c r="D178" s="821"/>
      <c r="E178" s="821"/>
      <c r="F178" s="821"/>
      <c r="G178" s="821"/>
      <c r="H178" s="821"/>
      <c r="I178" s="821"/>
      <c r="J178" s="821"/>
      <c r="K178" s="821"/>
      <c r="L178" s="821"/>
      <c r="M178" s="821"/>
      <c r="N178" s="821"/>
      <c r="O178" s="821"/>
      <c r="P178" s="821"/>
      <c r="Q178" s="821"/>
      <c r="R178" s="822"/>
    </row>
    <row r="179" spans="1:26" x14ac:dyDescent="0.25">
      <c r="A179" s="767" t="s">
        <v>120</v>
      </c>
      <c r="B179" s="821"/>
      <c r="C179" s="821"/>
      <c r="D179" s="821"/>
      <c r="E179" s="821"/>
      <c r="F179" s="821"/>
      <c r="G179" s="821"/>
      <c r="H179" s="821"/>
      <c r="I179" s="821"/>
      <c r="J179" s="821"/>
      <c r="K179" s="821"/>
      <c r="L179" s="821"/>
      <c r="M179" s="821"/>
      <c r="N179" s="821"/>
      <c r="O179" s="821"/>
      <c r="P179" s="821"/>
      <c r="Q179" s="821"/>
      <c r="R179" s="822"/>
    </row>
    <row r="180" spans="1:26" ht="38.25" x14ac:dyDescent="0.25">
      <c r="A180" s="830">
        <v>800403</v>
      </c>
      <c r="B180" s="310" t="s">
        <v>96</v>
      </c>
      <c r="C180" s="31" t="s">
        <v>34</v>
      </c>
      <c r="D180" s="28">
        <v>0.05</v>
      </c>
      <c r="E180" s="28">
        <v>0.03</v>
      </c>
      <c r="F180" s="32">
        <v>1.4</v>
      </c>
      <c r="G180" s="28">
        <v>1</v>
      </c>
      <c r="H180" s="28">
        <v>0.01</v>
      </c>
      <c r="I180" s="28" t="s">
        <v>55</v>
      </c>
      <c r="J180" s="28">
        <v>0.5</v>
      </c>
      <c r="K180" s="28">
        <v>0.5</v>
      </c>
      <c r="L180" s="28">
        <v>15</v>
      </c>
      <c r="M180" s="28">
        <f>(122900)*0.1*1.83</f>
        <v>22490.7</v>
      </c>
      <c r="N180" s="28" t="s">
        <v>56</v>
      </c>
      <c r="O180" s="33" t="s">
        <v>57</v>
      </c>
      <c r="P180" s="28">
        <v>0</v>
      </c>
      <c r="Q180" s="28">
        <f t="shared" ref="Q180:Q181" si="72">ROUND(((D180*E180*F180*G180*H180*J180*L180*1000000*K180/3600)*(1-P180)),4)</f>
        <v>2.1899999999999999E-2</v>
      </c>
      <c r="R180" s="28">
        <f t="shared" ref="R180:R181" si="73">ROUND((D180*E180*F180*G180*H180*J180*K180*M180*(1-P180)),4)</f>
        <v>0.1181</v>
      </c>
      <c r="S180" s="643">
        <f>Q183</f>
        <v>6.2199999999999998E-2</v>
      </c>
      <c r="T180" s="643">
        <f>R183</f>
        <v>0.56950000000000001</v>
      </c>
      <c r="U180" s="91" t="s">
        <v>273</v>
      </c>
      <c r="V180" s="91" t="s">
        <v>273</v>
      </c>
      <c r="Z180" s="91"/>
    </row>
    <row r="181" spans="1:26" ht="51" x14ac:dyDescent="0.25">
      <c r="A181" s="829"/>
      <c r="B181" s="28" t="s">
        <v>675</v>
      </c>
      <c r="C181" s="31" t="s">
        <v>64</v>
      </c>
      <c r="D181" s="28">
        <v>0.02</v>
      </c>
      <c r="E181" s="28">
        <v>0.01</v>
      </c>
      <c r="F181" s="32">
        <v>1.4</v>
      </c>
      <c r="G181" s="28">
        <v>1</v>
      </c>
      <c r="H181" s="28">
        <v>0.01</v>
      </c>
      <c r="I181" s="28" t="s">
        <v>55</v>
      </c>
      <c r="J181" s="28">
        <v>0.2</v>
      </c>
      <c r="K181" s="28">
        <v>0.5</v>
      </c>
      <c r="L181" s="28">
        <v>800</v>
      </c>
      <c r="M181" s="28">
        <v>1612064</v>
      </c>
      <c r="N181" s="28" t="s">
        <v>56</v>
      </c>
      <c r="O181" s="33" t="s">
        <v>57</v>
      </c>
      <c r="P181" s="28">
        <v>0</v>
      </c>
      <c r="Q181" s="28">
        <f t="shared" si="72"/>
        <v>6.2199999999999998E-2</v>
      </c>
      <c r="R181" s="28">
        <f t="shared" si="73"/>
        <v>0.45140000000000002</v>
      </c>
      <c r="S181" s="91"/>
      <c r="T181" s="91" t="s">
        <v>674</v>
      </c>
      <c r="Z181" s="91"/>
    </row>
    <row r="182" spans="1:26" x14ac:dyDescent="0.25">
      <c r="A182" s="823" t="s">
        <v>58</v>
      </c>
      <c r="B182" s="824"/>
      <c r="C182" s="824"/>
      <c r="D182" s="824"/>
      <c r="E182" s="824"/>
      <c r="F182" s="824"/>
      <c r="G182" s="824"/>
      <c r="H182" s="824"/>
      <c r="I182" s="824"/>
      <c r="J182" s="824"/>
      <c r="K182" s="824"/>
      <c r="L182" s="824"/>
      <c r="M182" s="824"/>
      <c r="N182" s="824"/>
      <c r="O182" s="824"/>
      <c r="P182" s="824"/>
      <c r="Q182" s="824"/>
      <c r="R182" s="825"/>
      <c r="S182" s="643"/>
      <c r="T182" s="643"/>
      <c r="Z182" s="91"/>
    </row>
    <row r="183" spans="1:26" ht="38.25" x14ac:dyDescent="0.25">
      <c r="A183" s="797" t="s">
        <v>488</v>
      </c>
      <c r="B183" s="826"/>
      <c r="C183" s="826"/>
      <c r="D183" s="826"/>
      <c r="E183" s="826"/>
      <c r="F183" s="826"/>
      <c r="G183" s="826"/>
      <c r="H183" s="826"/>
      <c r="I183" s="826"/>
      <c r="J183" s="826"/>
      <c r="K183" s="826"/>
      <c r="L183" s="826"/>
      <c r="M183" s="827"/>
      <c r="N183" s="29" t="s">
        <v>56</v>
      </c>
      <c r="O183" s="30" t="s">
        <v>57</v>
      </c>
      <c r="P183" s="28"/>
      <c r="Q183" s="29">
        <f>MAX(Q180,Q181)</f>
        <v>6.2199999999999998E-2</v>
      </c>
      <c r="R183" s="29">
        <f>R180+R181</f>
        <v>0.56950000000000001</v>
      </c>
      <c r="S183" s="697">
        <f>Q183</f>
        <v>6.2199999999999998E-2</v>
      </c>
      <c r="T183" s="698">
        <f>R183</f>
        <v>0.56950000000000001</v>
      </c>
      <c r="U183" s="700">
        <v>2048</v>
      </c>
      <c r="Z183" s="91"/>
    </row>
    <row r="184" spans="1:26" x14ac:dyDescent="0.25">
      <c r="A184" s="767" t="s">
        <v>121</v>
      </c>
      <c r="B184" s="821"/>
      <c r="C184" s="821"/>
      <c r="D184" s="821"/>
      <c r="E184" s="821"/>
      <c r="F184" s="821"/>
      <c r="G184" s="821"/>
      <c r="H184" s="821"/>
      <c r="I184" s="821"/>
      <c r="J184" s="821"/>
      <c r="K184" s="821"/>
      <c r="L184" s="821"/>
      <c r="M184" s="821"/>
      <c r="N184" s="821"/>
      <c r="O184" s="821"/>
      <c r="P184" s="821"/>
      <c r="Q184" s="821"/>
      <c r="R184" s="822"/>
      <c r="S184" s="643"/>
      <c r="T184" s="643"/>
      <c r="Z184" s="91"/>
    </row>
    <row r="185" spans="1:26" x14ac:dyDescent="0.25">
      <c r="A185" s="767" t="s">
        <v>120</v>
      </c>
      <c r="B185" s="821"/>
      <c r="C185" s="821"/>
      <c r="D185" s="821"/>
      <c r="E185" s="821"/>
      <c r="F185" s="821"/>
      <c r="G185" s="821"/>
      <c r="H185" s="821"/>
      <c r="I185" s="821"/>
      <c r="J185" s="821"/>
      <c r="K185" s="821"/>
      <c r="L185" s="821"/>
      <c r="M185" s="821"/>
      <c r="N185" s="821"/>
      <c r="O185" s="821"/>
      <c r="P185" s="821"/>
      <c r="Q185" s="821"/>
      <c r="R185" s="822"/>
      <c r="S185" s="643"/>
      <c r="T185" s="643"/>
      <c r="Z185" s="91"/>
    </row>
    <row r="186" spans="1:26" ht="51" x14ac:dyDescent="0.25">
      <c r="A186" s="695">
        <v>800403</v>
      </c>
      <c r="B186" s="28" t="s">
        <v>675</v>
      </c>
      <c r="C186" s="31" t="s">
        <v>64</v>
      </c>
      <c r="D186" s="28">
        <v>0.02</v>
      </c>
      <c r="E186" s="28">
        <v>0.01</v>
      </c>
      <c r="F186" s="32">
        <v>1.4</v>
      </c>
      <c r="G186" s="28">
        <v>1</v>
      </c>
      <c r="H186" s="28">
        <v>0.01</v>
      </c>
      <c r="I186" s="28" t="s">
        <v>55</v>
      </c>
      <c r="J186" s="28">
        <v>0.2</v>
      </c>
      <c r="K186" s="28">
        <v>0.5</v>
      </c>
      <c r="L186" s="28">
        <v>540</v>
      </c>
      <c r="M186" s="28">
        <v>1612064</v>
      </c>
      <c r="N186" s="28" t="s">
        <v>56</v>
      </c>
      <c r="O186" s="33" t="s">
        <v>57</v>
      </c>
      <c r="P186" s="28">
        <v>0</v>
      </c>
      <c r="Q186" s="28">
        <f t="shared" ref="Q186" si="74">ROUND(((D186*E186*F186*G186*H186*J186*L186*1000000*K186/3600)*(1-P186)),4)</f>
        <v>4.2000000000000003E-2</v>
      </c>
      <c r="R186" s="28">
        <f t="shared" ref="R186" si="75">ROUND((D186*E186*F186*G186*H186*J186*K186*M186*(1-P186)),4)</f>
        <v>0.45140000000000002</v>
      </c>
      <c r="S186" s="91"/>
      <c r="T186" s="91" t="s">
        <v>674</v>
      </c>
      <c r="Z186" s="91"/>
    </row>
    <row r="187" spans="1:26" ht="51" x14ac:dyDescent="0.25">
      <c r="A187" s="694"/>
      <c r="B187" s="28" t="s">
        <v>99</v>
      </c>
      <c r="C187" s="31" t="s">
        <v>34</v>
      </c>
      <c r="D187" s="28">
        <v>0.05</v>
      </c>
      <c r="E187" s="28">
        <v>0.03</v>
      </c>
      <c r="F187" s="32">
        <v>1.4</v>
      </c>
      <c r="G187" s="28">
        <v>1</v>
      </c>
      <c r="H187" s="28">
        <v>0.01</v>
      </c>
      <c r="I187" s="28" t="s">
        <v>55</v>
      </c>
      <c r="J187" s="28">
        <v>0.5</v>
      </c>
      <c r="K187" s="28">
        <v>0.5</v>
      </c>
      <c r="L187" s="28">
        <v>30</v>
      </c>
      <c r="M187" s="28">
        <f>(401450)*0.1*1.83</f>
        <v>73465.350000000006</v>
      </c>
      <c r="N187" s="28" t="s">
        <v>56</v>
      </c>
      <c r="O187" s="33" t="s">
        <v>57</v>
      </c>
      <c r="P187" s="28">
        <v>0</v>
      </c>
      <c r="Q187" s="28">
        <f>ROUND(((D187*E187*F187*G187*H187*J187*L187*1000000*K187/3600)*(1-P187)),4)</f>
        <v>4.3799999999999999E-2</v>
      </c>
      <c r="R187" s="28">
        <f>ROUND((D187*E187*F187*G187*H187*J187*K187*M187*(1-P187)),4)</f>
        <v>0.38569999999999999</v>
      </c>
      <c r="S187" s="643"/>
      <c r="T187" s="643"/>
      <c r="U187" s="91" t="s">
        <v>273</v>
      </c>
      <c r="Z187" s="91"/>
    </row>
    <row r="188" spans="1:26" x14ac:dyDescent="0.25">
      <c r="A188" s="823" t="s">
        <v>58</v>
      </c>
      <c r="B188" s="824"/>
      <c r="C188" s="824"/>
      <c r="D188" s="824"/>
      <c r="E188" s="824"/>
      <c r="F188" s="824"/>
      <c r="G188" s="824"/>
      <c r="H188" s="824"/>
      <c r="I188" s="824"/>
      <c r="J188" s="824"/>
      <c r="K188" s="824"/>
      <c r="L188" s="824"/>
      <c r="M188" s="824"/>
      <c r="N188" s="824"/>
      <c r="O188" s="824"/>
      <c r="P188" s="824"/>
      <c r="Q188" s="824"/>
      <c r="R188" s="825"/>
      <c r="S188" s="643"/>
      <c r="T188" s="643"/>
      <c r="Z188" s="91"/>
    </row>
    <row r="189" spans="1:26" ht="38.25" x14ac:dyDescent="0.25">
      <c r="A189" s="797" t="s">
        <v>488</v>
      </c>
      <c r="B189" s="826"/>
      <c r="C189" s="826"/>
      <c r="D189" s="826"/>
      <c r="E189" s="826"/>
      <c r="F189" s="826"/>
      <c r="G189" s="826"/>
      <c r="H189" s="826"/>
      <c r="I189" s="826"/>
      <c r="J189" s="826"/>
      <c r="K189" s="826"/>
      <c r="L189" s="826"/>
      <c r="M189" s="827"/>
      <c r="N189" s="29" t="s">
        <v>56</v>
      </c>
      <c r="O189" s="30" t="s">
        <v>57</v>
      </c>
      <c r="P189" s="28"/>
      <c r="Q189" s="29">
        <f>MAX(Q186,Q187)</f>
        <v>4.3799999999999999E-2</v>
      </c>
      <c r="R189" s="29">
        <f>R186+R187</f>
        <v>0.83709999999999996</v>
      </c>
      <c r="S189" s="697">
        <f>Q189</f>
        <v>4.3799999999999999E-2</v>
      </c>
      <c r="T189" s="698">
        <f>R189</f>
        <v>0.83709999999999996</v>
      </c>
      <c r="U189" s="700">
        <v>2049</v>
      </c>
      <c r="Z189" s="91"/>
    </row>
    <row r="190" spans="1:26" x14ac:dyDescent="0.25">
      <c r="A190" s="781" t="s">
        <v>122</v>
      </c>
      <c r="B190" s="840"/>
      <c r="C190" s="840"/>
      <c r="D190" s="840"/>
      <c r="E190" s="840"/>
      <c r="F190" s="840"/>
      <c r="G190" s="840"/>
      <c r="H190" s="840"/>
      <c r="I190" s="840"/>
      <c r="J190" s="840"/>
      <c r="K190" s="840"/>
      <c r="L190" s="840"/>
      <c r="M190" s="840"/>
      <c r="N190" s="840"/>
      <c r="O190" s="840"/>
      <c r="P190" s="840"/>
      <c r="Q190" s="840"/>
      <c r="R190" s="841"/>
      <c r="Z190" s="91"/>
    </row>
    <row r="191" spans="1:26" x14ac:dyDescent="0.25">
      <c r="A191" s="781" t="s">
        <v>120</v>
      </c>
      <c r="B191" s="840"/>
      <c r="C191" s="840"/>
      <c r="D191" s="840"/>
      <c r="E191" s="840"/>
      <c r="F191" s="840"/>
      <c r="G191" s="840"/>
      <c r="H191" s="840"/>
      <c r="I191" s="840"/>
      <c r="J191" s="840"/>
      <c r="K191" s="840"/>
      <c r="L191" s="840"/>
      <c r="M191" s="840"/>
      <c r="N191" s="840"/>
      <c r="O191" s="840"/>
      <c r="P191" s="840"/>
      <c r="Q191" s="840"/>
      <c r="R191" s="841"/>
      <c r="Z191" s="91"/>
    </row>
    <row r="192" spans="1:26" ht="51" x14ac:dyDescent="0.25">
      <c r="A192" s="830">
        <v>800403</v>
      </c>
      <c r="B192" s="28" t="s">
        <v>675</v>
      </c>
      <c r="C192" s="31" t="s">
        <v>64</v>
      </c>
      <c r="D192" s="28">
        <v>0.02</v>
      </c>
      <c r="E192" s="28">
        <v>0.01</v>
      </c>
      <c r="F192" s="32">
        <v>1.4</v>
      </c>
      <c r="G192" s="28">
        <v>1</v>
      </c>
      <c r="H192" s="28">
        <v>0.01</v>
      </c>
      <c r="I192" s="28" t="s">
        <v>55</v>
      </c>
      <c r="J192" s="28">
        <v>0.2</v>
      </c>
      <c r="K192" s="28">
        <v>0.5</v>
      </c>
      <c r="L192" s="28">
        <v>350</v>
      </c>
      <c r="M192" s="28">
        <v>1018145</v>
      </c>
      <c r="N192" s="28" t="s">
        <v>56</v>
      </c>
      <c r="O192" s="33" t="s">
        <v>57</v>
      </c>
      <c r="P192" s="28">
        <v>0</v>
      </c>
      <c r="Q192" s="28">
        <f t="shared" ref="Q192" si="76">ROUND(((D192*E192*F192*G192*H192*J192*L192*1000000*K192/3600)*(1-P192)),4)</f>
        <v>2.7199999999999998E-2</v>
      </c>
      <c r="R192" s="28">
        <f t="shared" ref="R192" si="77">ROUND((D192*E192*F192*G192*H192*J192*K192*M192*(1-P192)),4)</f>
        <v>0.28510000000000002</v>
      </c>
      <c r="S192" s="91"/>
      <c r="T192" s="91" t="s">
        <v>674</v>
      </c>
      <c r="V192" s="86"/>
      <c r="W192" s="86"/>
      <c r="X192" s="86"/>
      <c r="Y192" s="86"/>
    </row>
    <row r="193" spans="1:26" ht="51" x14ac:dyDescent="0.25">
      <c r="A193" s="842"/>
      <c r="B193" s="28" t="s">
        <v>99</v>
      </c>
      <c r="C193" s="31" t="s">
        <v>34</v>
      </c>
      <c r="D193" s="28">
        <v>0.05</v>
      </c>
      <c r="E193" s="28">
        <v>0.03</v>
      </c>
      <c r="F193" s="32">
        <v>1.4</v>
      </c>
      <c r="G193" s="28">
        <v>1</v>
      </c>
      <c r="H193" s="28">
        <v>0.01</v>
      </c>
      <c r="I193" s="28" t="s">
        <v>55</v>
      </c>
      <c r="J193" s="28">
        <v>0.5</v>
      </c>
      <c r="K193" s="28">
        <v>0.5</v>
      </c>
      <c r="L193" s="28">
        <v>30</v>
      </c>
      <c r="M193" s="28">
        <f>(172050)*0.1*1.83</f>
        <v>31485.15</v>
      </c>
      <c r="N193" s="28" t="s">
        <v>56</v>
      </c>
      <c r="O193" s="33" t="s">
        <v>57</v>
      </c>
      <c r="P193" s="28">
        <v>0</v>
      </c>
      <c r="Q193" s="28">
        <f>ROUND(((D193*E193*F193*G193*H193*J193*L193*1000000*K193/3600)*(1-P193)),4)</f>
        <v>4.3799999999999999E-2</v>
      </c>
      <c r="R193" s="28">
        <f>ROUND((D193*E193*F193*G193*H193*J193*K193*M193*(1-P193)),4)</f>
        <v>0.1653</v>
      </c>
      <c r="U193" s="91" t="s">
        <v>273</v>
      </c>
      <c r="V193" s="91" t="s">
        <v>273</v>
      </c>
      <c r="Z193" s="91"/>
    </row>
    <row r="194" spans="1:26" ht="38.25" x14ac:dyDescent="0.25">
      <c r="A194" s="843"/>
      <c r="B194" s="28" t="s">
        <v>116</v>
      </c>
      <c r="C194" s="31" t="s">
        <v>677</v>
      </c>
      <c r="D194" s="28">
        <v>0.02</v>
      </c>
      <c r="E194" s="28">
        <v>0.01</v>
      </c>
      <c r="F194" s="32">
        <v>1.4</v>
      </c>
      <c r="G194" s="28">
        <v>1</v>
      </c>
      <c r="H194" s="28">
        <v>0.01</v>
      </c>
      <c r="I194" s="28" t="s">
        <v>55</v>
      </c>
      <c r="J194" s="28">
        <v>0.2</v>
      </c>
      <c r="K194" s="28">
        <v>0.5</v>
      </c>
      <c r="L194" s="28">
        <v>20</v>
      </c>
      <c r="M194" s="28">
        <v>38036</v>
      </c>
      <c r="N194" s="28" t="s">
        <v>56</v>
      </c>
      <c r="O194" s="33" t="s">
        <v>57</v>
      </c>
      <c r="P194" s="28">
        <v>0</v>
      </c>
      <c r="Q194" s="28">
        <f t="shared" ref="Q194:Q197" si="78">ROUND(((D194*E194*F194*G194*H194*J194*L194*1000000*K194/3600)*(1-P194)),4)</f>
        <v>1.6000000000000001E-3</v>
      </c>
      <c r="R194" s="28">
        <f t="shared" ref="R194:R197" si="79">ROUND((D194*E194*F194*G194*H194*J194*K194*M194*(1-P194)),4)</f>
        <v>1.0699999999999999E-2</v>
      </c>
    </row>
    <row r="195" spans="1:26" ht="51" x14ac:dyDescent="0.25">
      <c r="A195" s="843"/>
      <c r="B195" s="28" t="s">
        <v>107</v>
      </c>
      <c r="C195" s="31" t="s">
        <v>136</v>
      </c>
      <c r="D195" s="28">
        <v>0.04</v>
      </c>
      <c r="E195" s="28">
        <v>0.02</v>
      </c>
      <c r="F195" s="32">
        <v>1.4</v>
      </c>
      <c r="G195" s="28">
        <v>1</v>
      </c>
      <c r="H195" s="28">
        <v>0.01</v>
      </c>
      <c r="I195" s="28" t="s">
        <v>55</v>
      </c>
      <c r="J195" s="28">
        <v>0.5</v>
      </c>
      <c r="K195" s="28">
        <v>0.5</v>
      </c>
      <c r="L195" s="28">
        <v>10</v>
      </c>
      <c r="M195" s="28">
        <v>15495</v>
      </c>
      <c r="N195" s="28" t="s">
        <v>56</v>
      </c>
      <c r="O195" s="33" t="s">
        <v>57</v>
      </c>
      <c r="P195" s="28">
        <v>0</v>
      </c>
      <c r="Q195" s="28">
        <f t="shared" si="78"/>
        <v>7.7999999999999996E-3</v>
      </c>
      <c r="R195" s="28">
        <f t="shared" si="79"/>
        <v>4.3400000000000001E-2</v>
      </c>
      <c r="T195" s="641" t="s">
        <v>560</v>
      </c>
    </row>
    <row r="196" spans="1:26" ht="51" x14ac:dyDescent="0.25">
      <c r="A196" s="843"/>
      <c r="B196" s="28" t="s">
        <v>678</v>
      </c>
      <c r="C196" s="31" t="s">
        <v>64</v>
      </c>
      <c r="D196" s="28">
        <v>0.02</v>
      </c>
      <c r="E196" s="28">
        <v>0.01</v>
      </c>
      <c r="F196" s="32">
        <v>1.4</v>
      </c>
      <c r="G196" s="28">
        <v>1</v>
      </c>
      <c r="H196" s="28">
        <v>0.01</v>
      </c>
      <c r="I196" s="28" t="s">
        <v>55</v>
      </c>
      <c r="J196" s="28">
        <v>0.2</v>
      </c>
      <c r="K196" s="28">
        <v>0.5</v>
      </c>
      <c r="L196" s="28">
        <v>65</v>
      </c>
      <c r="M196" s="28">
        <v>125749</v>
      </c>
      <c r="N196" s="28" t="s">
        <v>56</v>
      </c>
      <c r="O196" s="33" t="s">
        <v>57</v>
      </c>
      <c r="P196" s="28">
        <v>0</v>
      </c>
      <c r="Q196" s="28">
        <f t="shared" si="78"/>
        <v>5.1000000000000004E-3</v>
      </c>
      <c r="R196" s="28">
        <f t="shared" si="79"/>
        <v>3.5200000000000002E-2</v>
      </c>
      <c r="S196" s="91"/>
      <c r="T196" s="91" t="s">
        <v>674</v>
      </c>
    </row>
    <row r="197" spans="1:26" ht="51" x14ac:dyDescent="0.25">
      <c r="A197" s="843"/>
      <c r="B197" s="28" t="s">
        <v>106</v>
      </c>
      <c r="C197" s="31" t="s">
        <v>101</v>
      </c>
      <c r="D197" s="28">
        <v>0.02</v>
      </c>
      <c r="E197" s="28">
        <v>0.01</v>
      </c>
      <c r="F197" s="32">
        <v>1.4</v>
      </c>
      <c r="G197" s="28">
        <v>1</v>
      </c>
      <c r="H197" s="28">
        <v>0.01</v>
      </c>
      <c r="I197" s="28" t="s">
        <v>55</v>
      </c>
      <c r="J197" s="28">
        <v>0.4</v>
      </c>
      <c r="K197" s="28">
        <v>0.5</v>
      </c>
      <c r="L197" s="28">
        <v>70</v>
      </c>
      <c r="M197" s="28">
        <v>83714</v>
      </c>
      <c r="N197" s="28" t="s">
        <v>56</v>
      </c>
      <c r="O197" s="33" t="s">
        <v>57</v>
      </c>
      <c r="P197" s="28">
        <v>0.8</v>
      </c>
      <c r="Q197" s="28">
        <f t="shared" si="78"/>
        <v>2.2000000000000001E-3</v>
      </c>
      <c r="R197" s="28">
        <f t="shared" si="79"/>
        <v>9.4000000000000004E-3</v>
      </c>
    </row>
    <row r="198" spans="1:26" x14ac:dyDescent="0.25">
      <c r="A198" s="823" t="s">
        <v>58</v>
      </c>
      <c r="B198" s="824"/>
      <c r="C198" s="824"/>
      <c r="D198" s="824"/>
      <c r="E198" s="824"/>
      <c r="F198" s="824"/>
      <c r="G198" s="824"/>
      <c r="H198" s="824"/>
      <c r="I198" s="824"/>
      <c r="J198" s="824"/>
      <c r="K198" s="824"/>
      <c r="L198" s="824"/>
      <c r="M198" s="824"/>
      <c r="N198" s="824"/>
      <c r="O198" s="824"/>
      <c r="P198" s="824"/>
      <c r="Q198" s="824"/>
      <c r="R198" s="825"/>
    </row>
    <row r="199" spans="1:26" ht="38.25" x14ac:dyDescent="0.25">
      <c r="A199" s="797" t="s">
        <v>488</v>
      </c>
      <c r="B199" s="826"/>
      <c r="C199" s="826"/>
      <c r="D199" s="826"/>
      <c r="E199" s="826"/>
      <c r="F199" s="826"/>
      <c r="G199" s="826"/>
      <c r="H199" s="826"/>
      <c r="I199" s="826"/>
      <c r="J199" s="826"/>
      <c r="K199" s="826"/>
      <c r="L199" s="826"/>
      <c r="M199" s="827"/>
      <c r="N199" s="29" t="s">
        <v>56</v>
      </c>
      <c r="O199" s="30" t="s">
        <v>57</v>
      </c>
      <c r="P199" s="28"/>
      <c r="Q199" s="29">
        <f>MAX(Q193,Q192,Q196,Q194,Q195,Q197)</f>
        <v>4.3799999999999999E-2</v>
      </c>
      <c r="R199" s="29">
        <f>R197+R193+R194+R195+R192+R196</f>
        <v>0.54910000000000003</v>
      </c>
      <c r="S199" s="697">
        <f>Q199</f>
        <v>4.3799999999999999E-2</v>
      </c>
      <c r="T199" s="698">
        <f>R199</f>
        <v>0.54910000000000003</v>
      </c>
      <c r="U199" s="700">
        <v>2050</v>
      </c>
    </row>
    <row r="200" spans="1:26" x14ac:dyDescent="0.25">
      <c r="A200" s="781" t="s">
        <v>123</v>
      </c>
      <c r="B200" s="840"/>
      <c r="C200" s="840"/>
      <c r="D200" s="840"/>
      <c r="E200" s="840"/>
      <c r="F200" s="840"/>
      <c r="G200" s="840"/>
      <c r="H200" s="840"/>
      <c r="I200" s="840"/>
      <c r="J200" s="840"/>
      <c r="K200" s="840"/>
      <c r="L200" s="840"/>
      <c r="M200" s="840"/>
      <c r="N200" s="840"/>
      <c r="O200" s="840"/>
      <c r="P200" s="840"/>
      <c r="Q200" s="840"/>
      <c r="R200" s="841"/>
    </row>
    <row r="201" spans="1:26" x14ac:dyDescent="0.25">
      <c r="A201" s="781" t="s">
        <v>120</v>
      </c>
      <c r="B201" s="840"/>
      <c r="C201" s="840"/>
      <c r="D201" s="840"/>
      <c r="E201" s="840"/>
      <c r="F201" s="840"/>
      <c r="G201" s="840"/>
      <c r="H201" s="840"/>
      <c r="I201" s="840"/>
      <c r="J201" s="840"/>
      <c r="K201" s="840"/>
      <c r="L201" s="840"/>
      <c r="M201" s="840"/>
      <c r="N201" s="840"/>
      <c r="O201" s="840"/>
      <c r="P201" s="840"/>
      <c r="Q201" s="840"/>
      <c r="R201" s="841"/>
    </row>
    <row r="202" spans="1:26" ht="38.25" x14ac:dyDescent="0.25">
      <c r="A202" s="830">
        <v>800403</v>
      </c>
      <c r="B202" s="28" t="s">
        <v>117</v>
      </c>
      <c r="C202" s="31" t="s">
        <v>677</v>
      </c>
      <c r="D202" s="28">
        <v>0.02</v>
      </c>
      <c r="E202" s="28">
        <v>0.01</v>
      </c>
      <c r="F202" s="32">
        <v>1.4</v>
      </c>
      <c r="G202" s="28">
        <v>1</v>
      </c>
      <c r="H202" s="28">
        <v>0.01</v>
      </c>
      <c r="I202" s="28" t="s">
        <v>55</v>
      </c>
      <c r="J202" s="28">
        <v>0.2</v>
      </c>
      <c r="K202" s="28">
        <v>0.5</v>
      </c>
      <c r="L202" s="28">
        <v>10</v>
      </c>
      <c r="M202" s="28">
        <v>2485</v>
      </c>
      <c r="N202" s="28" t="s">
        <v>56</v>
      </c>
      <c r="O202" s="33" t="s">
        <v>57</v>
      </c>
      <c r="P202" s="28">
        <v>0</v>
      </c>
      <c r="Q202" s="28">
        <f>ROUND(((D202*E202*F202*G202*H202*J202*L202*1000000*K202/3600)*(1-P202)),4)</f>
        <v>8.0000000000000004E-4</v>
      </c>
      <c r="R202" s="28">
        <f>ROUND((D202*E202*F202*G202*H202*J202*K202*M202*(1-P202)),4)</f>
        <v>6.9999999999999999E-4</v>
      </c>
    </row>
    <row r="203" spans="1:26" ht="51" x14ac:dyDescent="0.25">
      <c r="A203" s="842"/>
      <c r="B203" s="28" t="s">
        <v>678</v>
      </c>
      <c r="C203" s="31" t="s">
        <v>64</v>
      </c>
      <c r="D203" s="28">
        <v>0.02</v>
      </c>
      <c r="E203" s="28">
        <v>0.01</v>
      </c>
      <c r="F203" s="32">
        <v>1.4</v>
      </c>
      <c r="G203" s="28">
        <v>1</v>
      </c>
      <c r="H203" s="28">
        <v>0.01</v>
      </c>
      <c r="I203" s="28" t="s">
        <v>55</v>
      </c>
      <c r="J203" s="28">
        <v>0.2</v>
      </c>
      <c r="K203" s="28">
        <v>0.5</v>
      </c>
      <c r="L203" s="28">
        <v>65</v>
      </c>
      <c r="M203" s="28">
        <v>53893</v>
      </c>
      <c r="N203" s="28" t="s">
        <v>56</v>
      </c>
      <c r="O203" s="33" t="s">
        <v>57</v>
      </c>
      <c r="P203" s="28">
        <v>0</v>
      </c>
      <c r="Q203" s="28">
        <f t="shared" ref="Q203" si="80">ROUND(((D203*E203*F203*G203*H203*J203*L203*1000000*K203/3600)*(1-P203)),4)</f>
        <v>5.1000000000000004E-3</v>
      </c>
      <c r="R203" s="28">
        <f t="shared" ref="R203" si="81">ROUND((D203*E203*F203*G203*H203*J203*K203*M203*(1-P203)),4)</f>
        <v>1.5100000000000001E-2</v>
      </c>
      <c r="S203" s="91"/>
      <c r="T203" s="91" t="s">
        <v>674</v>
      </c>
    </row>
    <row r="204" spans="1:26" ht="51" x14ac:dyDescent="0.25">
      <c r="A204" s="843"/>
      <c r="B204" s="28" t="s">
        <v>108</v>
      </c>
      <c r="C204" s="31" t="s">
        <v>101</v>
      </c>
      <c r="D204" s="28">
        <v>0.02</v>
      </c>
      <c r="E204" s="28">
        <v>0.01</v>
      </c>
      <c r="F204" s="32">
        <v>1.4</v>
      </c>
      <c r="G204" s="28">
        <v>1</v>
      </c>
      <c r="H204" s="28">
        <v>0.01</v>
      </c>
      <c r="I204" s="28" t="s">
        <v>55</v>
      </c>
      <c r="J204" s="28">
        <v>0.4</v>
      </c>
      <c r="K204" s="28">
        <v>0.5</v>
      </c>
      <c r="L204" s="28">
        <v>20</v>
      </c>
      <c r="M204" s="28">
        <v>12471</v>
      </c>
      <c r="N204" s="28" t="s">
        <v>56</v>
      </c>
      <c r="O204" s="33" t="s">
        <v>57</v>
      </c>
      <c r="P204" s="28">
        <v>0.8</v>
      </c>
      <c r="Q204" s="28">
        <f>ROUND(((D204*E204*F204*G204*H204*J204*L204*1000000*K204/3600)*(1-P204)),4)</f>
        <v>5.9999999999999995E-4</v>
      </c>
      <c r="R204" s="28">
        <f>ROUND((D204*E204*F204*G204*H204*J204*K204*M204*(1-P204)),4)</f>
        <v>1.4E-3</v>
      </c>
      <c r="S204" s="91"/>
      <c r="T204" s="91" t="s">
        <v>559</v>
      </c>
    </row>
    <row r="205" spans="1:26" ht="51" x14ac:dyDescent="0.25">
      <c r="A205" s="843"/>
      <c r="B205" s="28" t="s">
        <v>124</v>
      </c>
      <c r="C205" s="31" t="s">
        <v>136</v>
      </c>
      <c r="D205" s="28">
        <v>0.04</v>
      </c>
      <c r="E205" s="28">
        <v>0.02</v>
      </c>
      <c r="F205" s="32">
        <v>1.4</v>
      </c>
      <c r="G205" s="28">
        <v>1</v>
      </c>
      <c r="H205" s="28">
        <v>0.01</v>
      </c>
      <c r="I205" s="28" t="s">
        <v>55</v>
      </c>
      <c r="J205" s="28">
        <v>0.5</v>
      </c>
      <c r="K205" s="28">
        <v>0.5</v>
      </c>
      <c r="L205" s="28">
        <v>10</v>
      </c>
      <c r="M205" s="28">
        <v>1238</v>
      </c>
      <c r="N205" s="28" t="s">
        <v>56</v>
      </c>
      <c r="O205" s="33" t="s">
        <v>57</v>
      </c>
      <c r="P205" s="28">
        <v>0</v>
      </c>
      <c r="Q205" s="28">
        <f t="shared" ref="Q205" si="82">ROUND(((D205*E205*F205*G205*H205*J205*L205*1000000*K205/3600)*(1-P205)),4)</f>
        <v>7.7999999999999996E-3</v>
      </c>
      <c r="R205" s="28">
        <f t="shared" ref="R205" si="83">ROUND((D205*E205*F205*G205*H205*J205*K205*M205*(1-P205)),4)</f>
        <v>3.5000000000000001E-3</v>
      </c>
      <c r="S205" s="91"/>
      <c r="T205" s="91" t="s">
        <v>560</v>
      </c>
    </row>
    <row r="206" spans="1:26" x14ac:dyDescent="0.25">
      <c r="A206" s="823" t="s">
        <v>58</v>
      </c>
      <c r="B206" s="824"/>
      <c r="C206" s="824"/>
      <c r="D206" s="824"/>
      <c r="E206" s="824"/>
      <c r="F206" s="824"/>
      <c r="G206" s="824"/>
      <c r="H206" s="824"/>
      <c r="I206" s="824"/>
      <c r="J206" s="824"/>
      <c r="K206" s="824"/>
      <c r="L206" s="824"/>
      <c r="M206" s="824"/>
      <c r="N206" s="824"/>
      <c r="O206" s="824"/>
      <c r="P206" s="824"/>
      <c r="Q206" s="824"/>
      <c r="R206" s="825"/>
    </row>
    <row r="207" spans="1:26" ht="38.25" x14ac:dyDescent="0.25">
      <c r="A207" s="797" t="s">
        <v>488</v>
      </c>
      <c r="B207" s="826"/>
      <c r="C207" s="826"/>
      <c r="D207" s="826"/>
      <c r="E207" s="826"/>
      <c r="F207" s="826"/>
      <c r="G207" s="826"/>
      <c r="H207" s="826"/>
      <c r="I207" s="826"/>
      <c r="J207" s="826"/>
      <c r="K207" s="826"/>
      <c r="L207" s="826"/>
      <c r="M207" s="827"/>
      <c r="N207" s="29" t="s">
        <v>56</v>
      </c>
      <c r="O207" s="30" t="s">
        <v>57</v>
      </c>
      <c r="P207" s="28"/>
      <c r="Q207" s="29">
        <f>MAX(Q202,Q203,Q204,Q205)</f>
        <v>7.7999999999999996E-3</v>
      </c>
      <c r="R207" s="29">
        <f>R204+R205+R202+R203</f>
        <v>2.07E-2</v>
      </c>
      <c r="S207" s="697">
        <f>Q207</f>
        <v>7.7999999999999996E-3</v>
      </c>
      <c r="T207" s="698">
        <f>R207</f>
        <v>2.07E-2</v>
      </c>
      <c r="U207" s="700">
        <v>2051</v>
      </c>
    </row>
    <row r="208" spans="1:26" ht="52.5" customHeight="1" x14ac:dyDescent="0.25">
      <c r="A208" s="831" t="s">
        <v>555</v>
      </c>
      <c r="B208" s="832"/>
      <c r="C208" s="832"/>
      <c r="D208" s="832"/>
      <c r="E208" s="832"/>
      <c r="F208" s="832"/>
      <c r="G208" s="832"/>
      <c r="H208" s="832"/>
      <c r="I208" s="832"/>
      <c r="J208" s="832"/>
      <c r="K208" s="832"/>
      <c r="L208" s="832"/>
      <c r="M208" s="832"/>
      <c r="N208" s="832"/>
      <c r="O208" s="832"/>
      <c r="P208" s="832"/>
      <c r="Q208" s="832"/>
      <c r="R208" s="832"/>
    </row>
  </sheetData>
  <mergeCells count="125">
    <mergeCell ref="A18:O18"/>
    <mergeCell ref="A19:O19"/>
    <mergeCell ref="A21:O21"/>
    <mergeCell ref="A13:O13"/>
    <mergeCell ref="A15:O15"/>
    <mergeCell ref="A16:O16"/>
    <mergeCell ref="A17:O17"/>
    <mergeCell ref="A51:A55"/>
    <mergeCell ref="A42:R42"/>
    <mergeCell ref="Q29:R29"/>
    <mergeCell ref="A29:A30"/>
    <mergeCell ref="B29:B30"/>
    <mergeCell ref="C29:C30"/>
    <mergeCell ref="N29:N30"/>
    <mergeCell ref="O29:O30"/>
    <mergeCell ref="A33:R33"/>
    <mergeCell ref="A34:R34"/>
    <mergeCell ref="A40:R40"/>
    <mergeCell ref="A41:M41"/>
    <mergeCell ref="A35:A39"/>
    <mergeCell ref="A32:R32"/>
    <mergeCell ref="A50:R50"/>
    <mergeCell ref="A14:R14"/>
    <mergeCell ref="A8:O8"/>
    <mergeCell ref="A9:O9"/>
    <mergeCell ref="A10:O10"/>
    <mergeCell ref="A12:O12"/>
    <mergeCell ref="A1:O1"/>
    <mergeCell ref="A3:O3"/>
    <mergeCell ref="A4:O4"/>
    <mergeCell ref="A6:O6"/>
    <mergeCell ref="A7:O7"/>
    <mergeCell ref="A11:R11"/>
    <mergeCell ref="A56:R56"/>
    <mergeCell ref="A57:M57"/>
    <mergeCell ref="A67:R67"/>
    <mergeCell ref="A68:M68"/>
    <mergeCell ref="A43:A47"/>
    <mergeCell ref="A48:R48"/>
    <mergeCell ref="A115:A118"/>
    <mergeCell ref="A107:A110"/>
    <mergeCell ref="A111:R111"/>
    <mergeCell ref="A112:M112"/>
    <mergeCell ref="A49:M49"/>
    <mergeCell ref="A99:R99"/>
    <mergeCell ref="A60:A66"/>
    <mergeCell ref="A113:R113"/>
    <mergeCell ref="A114:R114"/>
    <mergeCell ref="A86:A92"/>
    <mergeCell ref="A100:A103"/>
    <mergeCell ref="A104:R104"/>
    <mergeCell ref="A105:M105"/>
    <mergeCell ref="A106:R106"/>
    <mergeCell ref="A59:R59"/>
    <mergeCell ref="A58:R58"/>
    <mergeCell ref="A119:R119"/>
    <mergeCell ref="A120:M120"/>
    <mergeCell ref="A121:R121"/>
    <mergeCell ref="A122:R122"/>
    <mergeCell ref="A132:R132"/>
    <mergeCell ref="A133:M133"/>
    <mergeCell ref="A134:R134"/>
    <mergeCell ref="A135:R135"/>
    <mergeCell ref="A123:A131"/>
    <mergeCell ref="A202:A205"/>
    <mergeCell ref="A178:R178"/>
    <mergeCell ref="A179:R179"/>
    <mergeCell ref="A143:A151"/>
    <mergeCell ref="A152:R152"/>
    <mergeCell ref="A153:M153"/>
    <mergeCell ref="A136:A138"/>
    <mergeCell ref="A139:R139"/>
    <mergeCell ref="A140:M140"/>
    <mergeCell ref="A141:R141"/>
    <mergeCell ref="A142:R142"/>
    <mergeCell ref="A201:R201"/>
    <mergeCell ref="A192:A197"/>
    <mergeCell ref="A198:R198"/>
    <mergeCell ref="A199:M199"/>
    <mergeCell ref="A154:R154"/>
    <mergeCell ref="A155:R155"/>
    <mergeCell ref="A177:M177"/>
    <mergeCell ref="A166:R166"/>
    <mergeCell ref="A167:R167"/>
    <mergeCell ref="A168:A175"/>
    <mergeCell ref="A176:R176"/>
    <mergeCell ref="A160:R160"/>
    <mergeCell ref="A161:R161"/>
    <mergeCell ref="A208:R208"/>
    <mergeCell ref="A206:R206"/>
    <mergeCell ref="A207:M207"/>
    <mergeCell ref="A69:R69"/>
    <mergeCell ref="A70:A71"/>
    <mergeCell ref="A72:R72"/>
    <mergeCell ref="A73:M73"/>
    <mergeCell ref="A74:R74"/>
    <mergeCell ref="A75:A76"/>
    <mergeCell ref="A77:R77"/>
    <mergeCell ref="A78:M78"/>
    <mergeCell ref="A79:R79"/>
    <mergeCell ref="A80:A81"/>
    <mergeCell ref="A82:R82"/>
    <mergeCell ref="A83:M83"/>
    <mergeCell ref="A95:R95"/>
    <mergeCell ref="A97:R97"/>
    <mergeCell ref="A93:R93"/>
    <mergeCell ref="A94:M94"/>
    <mergeCell ref="A84:R84"/>
    <mergeCell ref="A85:R85"/>
    <mergeCell ref="A190:R190"/>
    <mergeCell ref="A191:R191"/>
    <mergeCell ref="A200:R200"/>
    <mergeCell ref="A184:R184"/>
    <mergeCell ref="A185:R185"/>
    <mergeCell ref="A188:R188"/>
    <mergeCell ref="A189:M189"/>
    <mergeCell ref="A156:A157"/>
    <mergeCell ref="A158:R158"/>
    <mergeCell ref="A159:M159"/>
    <mergeCell ref="A162:A163"/>
    <mergeCell ref="A164:R164"/>
    <mergeCell ref="A165:M165"/>
    <mergeCell ref="A180:A181"/>
    <mergeCell ref="A182:R182"/>
    <mergeCell ref="A183:M183"/>
  </mergeCells>
  <pageMargins left="0.31496062992125984" right="0.31496062992125984" top="0.78740157480314965" bottom="0.39370078740157483" header="0.31496062992125984" footer="0.19685039370078741"/>
  <pageSetup paperSize="9" firstPageNumber="153" orientation="landscape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55"/>
  <sheetViews>
    <sheetView view="pageBreakPreview" topLeftCell="A138" zoomScale="85" zoomScaleNormal="100" zoomScaleSheetLayoutView="85" workbookViewId="0">
      <selection activeCell="I152" sqref="I152"/>
    </sheetView>
  </sheetViews>
  <sheetFormatPr defaultRowHeight="15" x14ac:dyDescent="0.25"/>
  <cols>
    <col min="1" max="1" width="5.7109375" style="529" customWidth="1"/>
    <col min="2" max="2" width="15.140625" customWidth="1"/>
    <col min="3" max="3" width="12.5703125" customWidth="1"/>
    <col min="4" max="4" width="5.140625" customWidth="1"/>
    <col min="5" max="6" width="4.5703125" customWidth="1"/>
    <col min="7" max="7" width="4.42578125" customWidth="1"/>
    <col min="8" max="9" width="4.140625" customWidth="1"/>
    <col min="10" max="10" width="4.5703125" customWidth="1"/>
    <col min="11" max="11" width="4" style="3" customWidth="1"/>
    <col min="12" max="12" width="5.42578125" customWidth="1"/>
    <col min="13" max="13" width="5.140625" customWidth="1"/>
    <col min="14" max="14" width="3.85546875" customWidth="1"/>
    <col min="15" max="15" width="4.7109375" customWidth="1"/>
    <col min="16" max="16" width="5" style="3" customWidth="1"/>
    <col min="17" max="17" width="5" customWidth="1"/>
    <col min="18" max="18" width="17.28515625" customWidth="1"/>
    <col min="19" max="19" width="7" customWidth="1"/>
    <col min="20" max="20" width="7.7109375" customWidth="1"/>
    <col min="21" max="21" width="8.140625" customWidth="1"/>
    <col min="22" max="23" width="9.140625" style="9"/>
    <col min="24" max="24" width="9.140625" style="358"/>
    <col min="26" max="26" width="10.28515625" bestFit="1" customWidth="1"/>
  </cols>
  <sheetData>
    <row r="1" spans="1:24" s="113" customFormat="1" ht="18.75" customHeight="1" x14ac:dyDescent="0.25">
      <c r="A1" s="794" t="s">
        <v>363</v>
      </c>
      <c r="B1" s="794"/>
      <c r="C1" s="794"/>
      <c r="D1" s="794"/>
      <c r="E1" s="794"/>
      <c r="F1" s="794"/>
      <c r="G1" s="794"/>
      <c r="H1" s="794"/>
      <c r="I1" s="794"/>
      <c r="J1" s="794"/>
      <c r="K1" s="794"/>
      <c r="L1" s="794"/>
      <c r="M1" s="794"/>
      <c r="N1" s="794"/>
      <c r="O1" s="794"/>
      <c r="P1" s="794"/>
      <c r="Q1" s="794"/>
      <c r="R1" s="794"/>
      <c r="S1" s="794"/>
      <c r="T1" s="794"/>
      <c r="U1" s="794"/>
      <c r="V1" s="633"/>
      <c r="W1" s="633"/>
      <c r="X1" s="646"/>
    </row>
    <row r="2" spans="1:24" s="113" customFormat="1" ht="12.75" customHeight="1" x14ac:dyDescent="0.25">
      <c r="A2" s="524"/>
      <c r="V2" s="633"/>
      <c r="W2" s="633"/>
      <c r="X2" s="646"/>
    </row>
    <row r="3" spans="1:24" s="114" customFormat="1" ht="15.75" x14ac:dyDescent="0.25">
      <c r="A3" s="796" t="s">
        <v>318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796"/>
      <c r="V3" s="633"/>
      <c r="W3" s="633"/>
      <c r="X3" s="646"/>
    </row>
    <row r="4" spans="1:24" s="114" customFormat="1" ht="15.75" x14ac:dyDescent="0.25">
      <c r="A4" s="793" t="s">
        <v>319</v>
      </c>
      <c r="B4" s="793"/>
      <c r="C4" s="793"/>
      <c r="D4" s="793"/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V4" s="633"/>
      <c r="W4" s="633"/>
      <c r="X4" s="646"/>
    </row>
    <row r="5" spans="1:24" s="113" customFormat="1" ht="12" customHeight="1" x14ac:dyDescent="0.25">
      <c r="A5" s="524"/>
      <c r="V5" s="633"/>
      <c r="W5" s="633"/>
      <c r="X5" s="646"/>
    </row>
    <row r="6" spans="1:24" s="113" customFormat="1" ht="28.5" customHeight="1" x14ac:dyDescent="0.25">
      <c r="A6" s="795" t="s">
        <v>364</v>
      </c>
      <c r="B6" s="795"/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  <c r="U6" s="795"/>
      <c r="V6" s="633"/>
      <c r="W6" s="633"/>
      <c r="X6" s="646"/>
    </row>
    <row r="7" spans="1:24" s="113" customFormat="1" ht="25.5" customHeight="1" x14ac:dyDescent="0.25">
      <c r="A7" s="794" t="s">
        <v>372</v>
      </c>
      <c r="B7" s="794"/>
      <c r="C7" s="794"/>
      <c r="D7" s="794"/>
      <c r="E7" s="794"/>
      <c r="F7" s="794"/>
      <c r="G7" s="794"/>
      <c r="H7" s="794"/>
      <c r="I7" s="794"/>
      <c r="J7" s="794"/>
      <c r="K7" s="794"/>
      <c r="L7" s="794"/>
      <c r="M7" s="794"/>
      <c r="N7" s="794"/>
      <c r="O7" s="794"/>
      <c r="P7" s="794"/>
      <c r="Q7" s="794"/>
      <c r="R7" s="794"/>
      <c r="S7" s="794"/>
      <c r="T7" s="794"/>
      <c r="U7" s="794"/>
      <c r="V7" s="633"/>
      <c r="W7" s="633"/>
      <c r="X7" s="646"/>
    </row>
    <row r="8" spans="1:24" s="113" customFormat="1" ht="27.75" customHeight="1" x14ac:dyDescent="0.25">
      <c r="A8" s="795" t="s">
        <v>365</v>
      </c>
      <c r="B8" s="795"/>
      <c r="C8" s="795"/>
      <c r="D8" s="795"/>
      <c r="E8" s="795"/>
      <c r="F8" s="795"/>
      <c r="G8" s="795"/>
      <c r="H8" s="795"/>
      <c r="I8" s="795"/>
      <c r="J8" s="795"/>
      <c r="K8" s="795"/>
      <c r="L8" s="795"/>
      <c r="M8" s="795"/>
      <c r="N8" s="795"/>
      <c r="O8" s="795"/>
      <c r="V8" s="633"/>
      <c r="W8" s="633"/>
      <c r="X8" s="646"/>
    </row>
    <row r="9" spans="1:24" s="113" customFormat="1" ht="25.5" customHeight="1" x14ac:dyDescent="0.25">
      <c r="A9" s="794" t="s">
        <v>373</v>
      </c>
      <c r="B9" s="794"/>
      <c r="C9" s="794"/>
      <c r="D9" s="794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4"/>
      <c r="P9" s="794"/>
      <c r="Q9" s="794"/>
      <c r="R9" s="794"/>
      <c r="S9" s="794"/>
      <c r="T9" s="794"/>
      <c r="U9" s="794"/>
      <c r="V9" s="633"/>
      <c r="W9" s="633"/>
      <c r="X9" s="646"/>
    </row>
    <row r="10" spans="1:24" s="113" customFormat="1" ht="15.75" x14ac:dyDescent="0.25">
      <c r="A10" s="793" t="s">
        <v>339</v>
      </c>
      <c r="B10" s="793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  <c r="V10" s="633"/>
      <c r="W10" s="633"/>
      <c r="X10" s="646"/>
    </row>
    <row r="11" spans="1:24" s="114" customFormat="1" ht="16.5" customHeight="1" x14ac:dyDescent="0.25">
      <c r="A11" s="793" t="s">
        <v>371</v>
      </c>
      <c r="B11" s="793"/>
      <c r="C11" s="793"/>
      <c r="D11" s="793"/>
      <c r="E11" s="793"/>
      <c r="F11" s="793"/>
      <c r="G11" s="793"/>
      <c r="H11" s="793"/>
      <c r="I11" s="793"/>
      <c r="J11" s="793"/>
      <c r="K11" s="793"/>
      <c r="L11" s="793"/>
      <c r="M11" s="793"/>
      <c r="N11" s="793"/>
      <c r="O11" s="793"/>
      <c r="V11" s="633"/>
      <c r="W11" s="633"/>
      <c r="X11" s="646"/>
    </row>
    <row r="12" spans="1:24" s="114" customFormat="1" ht="15.75" x14ac:dyDescent="0.25">
      <c r="A12" s="793" t="s">
        <v>374</v>
      </c>
      <c r="B12" s="793"/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793"/>
      <c r="V12" s="633"/>
      <c r="W12" s="633"/>
      <c r="X12" s="646"/>
    </row>
    <row r="13" spans="1:24" s="114" customFormat="1" ht="15.75" x14ac:dyDescent="0.25">
      <c r="A13" s="793" t="s">
        <v>375</v>
      </c>
      <c r="B13" s="793"/>
      <c r="C13" s="793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93"/>
      <c r="O13" s="793"/>
      <c r="V13" s="633"/>
      <c r="W13" s="633"/>
      <c r="X13" s="646"/>
    </row>
    <row r="14" spans="1:24" s="114" customFormat="1" ht="18.75" customHeight="1" x14ac:dyDescent="0.25">
      <c r="A14" s="793" t="s">
        <v>379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633"/>
      <c r="W14" s="633"/>
      <c r="X14" s="646"/>
    </row>
    <row r="15" spans="1:24" s="114" customFormat="1" ht="15" customHeight="1" x14ac:dyDescent="0.25">
      <c r="A15" s="793" t="s">
        <v>380</v>
      </c>
      <c r="B15" s="793"/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3"/>
      <c r="N15" s="793"/>
      <c r="O15" s="793"/>
      <c r="V15" s="633"/>
      <c r="W15" s="633"/>
      <c r="X15" s="646"/>
    </row>
    <row r="16" spans="1:24" s="114" customFormat="1" ht="15" customHeight="1" x14ac:dyDescent="0.25">
      <c r="A16" s="793" t="s">
        <v>376</v>
      </c>
      <c r="B16" s="793"/>
      <c r="C16" s="793"/>
      <c r="D16" s="793"/>
      <c r="E16" s="793"/>
      <c r="F16" s="793"/>
      <c r="G16" s="793"/>
      <c r="H16" s="793"/>
      <c r="I16" s="793"/>
      <c r="J16" s="793"/>
      <c r="K16" s="793"/>
      <c r="L16" s="793"/>
      <c r="M16" s="793"/>
      <c r="N16" s="793"/>
      <c r="O16" s="793"/>
      <c r="V16" s="633"/>
      <c r="W16" s="633"/>
      <c r="X16" s="646"/>
    </row>
    <row r="17" spans="1:27" s="114" customFormat="1" ht="15" customHeight="1" x14ac:dyDescent="0.25">
      <c r="A17" s="793" t="s">
        <v>377</v>
      </c>
      <c r="B17" s="793"/>
      <c r="C17" s="793"/>
      <c r="D17" s="793"/>
      <c r="E17" s="793"/>
      <c r="F17" s="793"/>
      <c r="G17" s="793"/>
      <c r="H17" s="793"/>
      <c r="I17" s="793"/>
      <c r="J17" s="793"/>
      <c r="K17" s="793"/>
      <c r="L17" s="793"/>
      <c r="M17" s="793"/>
      <c r="N17" s="793"/>
      <c r="O17" s="793"/>
      <c r="P17" s="793"/>
      <c r="Q17" s="793"/>
      <c r="R17" s="793"/>
      <c r="S17" s="793"/>
      <c r="T17" s="793"/>
      <c r="U17" s="793"/>
      <c r="V17" s="633"/>
      <c r="W17" s="633"/>
      <c r="X17" s="646"/>
    </row>
    <row r="18" spans="1:27" s="114" customFormat="1" ht="35.1" customHeight="1" x14ac:dyDescent="0.25">
      <c r="A18" s="793" t="s">
        <v>378</v>
      </c>
      <c r="B18" s="793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793"/>
      <c r="S18" s="793"/>
      <c r="T18" s="793"/>
      <c r="U18" s="793"/>
      <c r="V18" s="633"/>
      <c r="W18" s="633"/>
      <c r="X18" s="646"/>
    </row>
    <row r="19" spans="1:27" s="114" customFormat="1" ht="15" customHeight="1" x14ac:dyDescent="0.25">
      <c r="A19" s="793" t="s">
        <v>366</v>
      </c>
      <c r="B19" s="793"/>
      <c r="C19" s="793"/>
      <c r="D19" s="793"/>
      <c r="E19" s="793"/>
      <c r="F19" s="793"/>
      <c r="G19" s="793"/>
      <c r="H19" s="793"/>
      <c r="I19" s="793"/>
      <c r="J19" s="793"/>
      <c r="K19" s="793"/>
      <c r="L19" s="793"/>
      <c r="M19" s="793"/>
      <c r="N19" s="793"/>
      <c r="O19" s="793"/>
      <c r="V19" s="633"/>
      <c r="W19" s="633"/>
      <c r="X19" s="646"/>
    </row>
    <row r="20" spans="1:27" s="113" customFormat="1" ht="15" customHeight="1" x14ac:dyDescent="0.25">
      <c r="A20" s="793" t="s">
        <v>367</v>
      </c>
      <c r="B20" s="793"/>
      <c r="C20" s="793"/>
      <c r="D20" s="793"/>
      <c r="E20" s="793"/>
      <c r="F20" s="793"/>
      <c r="G20" s="793"/>
      <c r="H20" s="793"/>
      <c r="I20" s="793"/>
      <c r="J20" s="793"/>
      <c r="K20" s="793"/>
      <c r="L20" s="793"/>
      <c r="M20" s="793"/>
      <c r="N20" s="793"/>
      <c r="O20" s="793"/>
      <c r="V20" s="633"/>
      <c r="W20" s="633"/>
      <c r="X20" s="646"/>
    </row>
    <row r="21" spans="1:27" s="113" customFormat="1" ht="15" customHeight="1" x14ac:dyDescent="0.25">
      <c r="A21" s="793" t="s">
        <v>381</v>
      </c>
      <c r="B21" s="793"/>
      <c r="C21" s="793"/>
      <c r="D21" s="793"/>
      <c r="E21" s="793"/>
      <c r="F21" s="793"/>
      <c r="G21" s="793"/>
      <c r="H21" s="793"/>
      <c r="I21" s="793"/>
      <c r="J21" s="793"/>
      <c r="K21" s="793"/>
      <c r="L21" s="793"/>
      <c r="M21" s="793"/>
      <c r="N21" s="793"/>
      <c r="O21" s="793"/>
      <c r="V21" s="633"/>
      <c r="W21" s="633"/>
      <c r="X21" s="646"/>
    </row>
    <row r="22" spans="1:27" s="113" customFormat="1" ht="15" customHeight="1" x14ac:dyDescent="0.25">
      <c r="A22" s="793" t="s">
        <v>382</v>
      </c>
      <c r="B22" s="793"/>
      <c r="C22" s="793"/>
      <c r="D22" s="793"/>
      <c r="E22" s="793"/>
      <c r="F22" s="793"/>
      <c r="G22" s="793"/>
      <c r="H22" s="793"/>
      <c r="I22" s="793"/>
      <c r="J22" s="793"/>
      <c r="K22" s="793"/>
      <c r="L22" s="793"/>
      <c r="M22" s="793"/>
      <c r="N22" s="793"/>
      <c r="O22" s="793"/>
      <c r="V22" s="633"/>
      <c r="W22" s="633"/>
      <c r="X22" s="646"/>
    </row>
    <row r="23" spans="1:27" s="113" customFormat="1" ht="17.25" customHeight="1" x14ac:dyDescent="0.25">
      <c r="A23" s="793" t="s">
        <v>383</v>
      </c>
      <c r="B23" s="793"/>
      <c r="C23" s="793"/>
      <c r="D23" s="793"/>
      <c r="E23" s="793"/>
      <c r="F23" s="793"/>
      <c r="G23" s="793"/>
      <c r="H23" s="793"/>
      <c r="I23" s="793"/>
      <c r="J23" s="793"/>
      <c r="K23" s="793"/>
      <c r="L23" s="793"/>
      <c r="M23" s="793"/>
      <c r="N23" s="793"/>
      <c r="O23" s="793"/>
      <c r="P23" s="793"/>
      <c r="Q23" s="793"/>
      <c r="R23" s="793"/>
      <c r="S23" s="793"/>
      <c r="T23" s="793"/>
      <c r="U23" s="793"/>
      <c r="V23" s="633"/>
      <c r="W23" s="633"/>
      <c r="X23" s="646"/>
    </row>
    <row r="24" spans="1:27" s="113" customFormat="1" ht="15" customHeight="1" x14ac:dyDescent="0.25">
      <c r="A24" s="793" t="s">
        <v>368</v>
      </c>
      <c r="B24" s="793"/>
      <c r="C24" s="793"/>
      <c r="D24" s="793"/>
      <c r="E24" s="793"/>
      <c r="F24" s="793"/>
      <c r="G24" s="793"/>
      <c r="H24" s="793"/>
      <c r="I24" s="793"/>
      <c r="J24" s="793"/>
      <c r="K24" s="793"/>
      <c r="L24" s="793"/>
      <c r="M24" s="793"/>
      <c r="N24" s="793"/>
      <c r="O24" s="793"/>
      <c r="V24" s="633"/>
      <c r="W24" s="633"/>
      <c r="X24" s="646"/>
    </row>
    <row r="25" spans="1:27" s="114" customFormat="1" ht="15" customHeight="1" x14ac:dyDescent="0.25">
      <c r="A25" s="793" t="s">
        <v>384</v>
      </c>
      <c r="B25" s="793"/>
      <c r="C25" s="793"/>
      <c r="D25" s="793"/>
      <c r="E25" s="793"/>
      <c r="F25" s="793"/>
      <c r="G25" s="793"/>
      <c r="H25" s="793"/>
      <c r="I25" s="793"/>
      <c r="J25" s="793"/>
      <c r="K25" s="793"/>
      <c r="L25" s="793"/>
      <c r="M25" s="793"/>
      <c r="N25" s="793"/>
      <c r="O25" s="793"/>
      <c r="V25" s="633"/>
      <c r="W25" s="633"/>
      <c r="X25" s="646"/>
    </row>
    <row r="26" spans="1:27" s="113" customFormat="1" ht="15" customHeight="1" x14ac:dyDescent="0.25">
      <c r="A26" s="793" t="s">
        <v>369</v>
      </c>
      <c r="B26" s="793"/>
      <c r="C26" s="793"/>
      <c r="D26" s="793"/>
      <c r="E26" s="793"/>
      <c r="F26" s="793"/>
      <c r="G26" s="793"/>
      <c r="H26" s="793"/>
      <c r="I26" s="793"/>
      <c r="J26" s="793"/>
      <c r="K26" s="793"/>
      <c r="L26" s="793"/>
      <c r="M26" s="793"/>
      <c r="N26" s="793"/>
      <c r="O26" s="793"/>
      <c r="V26" s="633"/>
      <c r="W26" s="633"/>
      <c r="X26" s="646"/>
    </row>
    <row r="27" spans="1:27" s="113" customFormat="1" ht="9" customHeight="1" x14ac:dyDescent="0.25">
      <c r="A27" s="793"/>
      <c r="B27" s="793"/>
      <c r="C27" s="793"/>
      <c r="D27" s="793"/>
      <c r="E27" s="793"/>
      <c r="F27" s="793"/>
      <c r="G27" s="793"/>
      <c r="H27" s="793"/>
      <c r="I27" s="793"/>
      <c r="J27" s="793"/>
      <c r="K27" s="793"/>
      <c r="L27" s="793"/>
      <c r="M27" s="793"/>
      <c r="N27" s="793"/>
      <c r="O27" s="793"/>
      <c r="V27" s="633"/>
      <c r="W27" s="633"/>
      <c r="X27" s="646"/>
    </row>
    <row r="28" spans="1:27" s="113" customFormat="1" ht="18.75" customHeight="1" x14ac:dyDescent="0.25">
      <c r="A28" s="795" t="s">
        <v>370</v>
      </c>
      <c r="B28" s="795"/>
      <c r="C28" s="795"/>
      <c r="D28" s="795"/>
      <c r="E28" s="795"/>
      <c r="F28" s="795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  <c r="U28" s="795"/>
      <c r="V28" s="633"/>
      <c r="W28" s="633"/>
      <c r="X28" s="646"/>
    </row>
    <row r="29" spans="1:27" s="113" customFormat="1" ht="18" customHeight="1" x14ac:dyDescent="0.25">
      <c r="A29" s="526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633"/>
      <c r="W29" s="633"/>
      <c r="X29" s="646"/>
    </row>
    <row r="30" spans="1:27" ht="15.75" x14ac:dyDescent="0.25">
      <c r="A30" s="815" t="s">
        <v>309</v>
      </c>
      <c r="B30" s="815"/>
      <c r="C30" s="815"/>
      <c r="D30" s="815"/>
      <c r="E30" s="815"/>
      <c r="F30" s="815"/>
      <c r="G30" s="815"/>
      <c r="H30" s="815"/>
      <c r="I30" s="815"/>
      <c r="J30" s="815"/>
      <c r="K30" s="815"/>
      <c r="L30" s="815"/>
      <c r="M30" s="815"/>
      <c r="N30" s="815"/>
      <c r="O30" s="815"/>
      <c r="P30" s="815"/>
      <c r="Q30" s="815"/>
      <c r="R30" s="815"/>
      <c r="S30" s="815"/>
      <c r="T30" s="815"/>
      <c r="U30" s="815"/>
    </row>
    <row r="31" spans="1:27" ht="25.5" x14ac:dyDescent="0.25">
      <c r="A31" s="4" t="s">
        <v>0</v>
      </c>
      <c r="B31" s="4" t="s">
        <v>37</v>
      </c>
      <c r="C31" s="4" t="s">
        <v>2</v>
      </c>
      <c r="D31" s="76" t="s">
        <v>282</v>
      </c>
      <c r="E31" s="76" t="s">
        <v>283</v>
      </c>
      <c r="F31" s="76" t="s">
        <v>284</v>
      </c>
      <c r="G31" s="76" t="s">
        <v>285</v>
      </c>
      <c r="H31" s="76" t="s">
        <v>286</v>
      </c>
      <c r="I31" s="76" t="s">
        <v>287</v>
      </c>
      <c r="J31" s="76" t="s">
        <v>288</v>
      </c>
      <c r="K31" s="76" t="s">
        <v>68</v>
      </c>
      <c r="L31" s="76" t="s">
        <v>69</v>
      </c>
      <c r="M31" s="76" t="s">
        <v>289</v>
      </c>
      <c r="N31" s="76" t="s">
        <v>70</v>
      </c>
      <c r="O31" s="76" t="s">
        <v>290</v>
      </c>
      <c r="P31" s="76" t="s">
        <v>50</v>
      </c>
      <c r="Q31" s="76" t="s">
        <v>71</v>
      </c>
      <c r="R31" s="76" t="s">
        <v>12</v>
      </c>
      <c r="S31" s="4" t="s">
        <v>13</v>
      </c>
      <c r="T31" s="4" t="s">
        <v>30</v>
      </c>
      <c r="U31" s="4" t="s">
        <v>72</v>
      </c>
    </row>
    <row r="32" spans="1:27" ht="14.1" customHeight="1" x14ac:dyDescent="0.25">
      <c r="A32" s="4">
        <v>1</v>
      </c>
      <c r="B32" s="4">
        <v>2</v>
      </c>
      <c r="C32" s="4">
        <v>3</v>
      </c>
      <c r="D32" s="76">
        <v>4</v>
      </c>
      <c r="E32" s="76">
        <v>5</v>
      </c>
      <c r="F32" s="76">
        <v>6</v>
      </c>
      <c r="G32" s="76">
        <v>7</v>
      </c>
      <c r="H32" s="76">
        <v>8</v>
      </c>
      <c r="I32" s="76">
        <v>9</v>
      </c>
      <c r="J32" s="76">
        <v>10</v>
      </c>
      <c r="K32" s="76">
        <v>11</v>
      </c>
      <c r="L32" s="76">
        <v>12</v>
      </c>
      <c r="M32" s="76">
        <v>13</v>
      </c>
      <c r="N32" s="76">
        <v>14</v>
      </c>
      <c r="O32" s="76">
        <v>15</v>
      </c>
      <c r="P32" s="76">
        <v>16</v>
      </c>
      <c r="Q32" s="76">
        <v>17</v>
      </c>
      <c r="R32" s="76">
        <v>18</v>
      </c>
      <c r="S32" s="4">
        <v>19</v>
      </c>
      <c r="T32" s="4">
        <v>20</v>
      </c>
      <c r="U32" s="4">
        <v>21</v>
      </c>
      <c r="AA32" s="77"/>
    </row>
    <row r="33" spans="1:29" ht="14.1" customHeight="1" x14ac:dyDescent="0.25">
      <c r="A33" s="882" t="s">
        <v>297</v>
      </c>
      <c r="B33" s="883"/>
      <c r="C33" s="883"/>
      <c r="D33" s="883"/>
      <c r="E33" s="883"/>
      <c r="F33" s="883"/>
      <c r="G33" s="883"/>
      <c r="H33" s="883"/>
      <c r="I33" s="883"/>
      <c r="J33" s="883"/>
      <c r="K33" s="883"/>
      <c r="L33" s="883"/>
      <c r="M33" s="883"/>
      <c r="N33" s="883"/>
      <c r="O33" s="883"/>
      <c r="P33" s="883"/>
      <c r="Q33" s="883"/>
      <c r="R33" s="883"/>
      <c r="S33" s="883"/>
      <c r="T33" s="883"/>
      <c r="U33" s="884"/>
      <c r="AA33" s="77"/>
    </row>
    <row r="34" spans="1:29" ht="14.1" customHeight="1" x14ac:dyDescent="0.25">
      <c r="A34" s="781" t="s">
        <v>16</v>
      </c>
      <c r="B34" s="782"/>
      <c r="C34" s="782"/>
      <c r="D34" s="782"/>
      <c r="E34" s="782"/>
      <c r="F34" s="782"/>
      <c r="G34" s="782"/>
      <c r="H34" s="782"/>
      <c r="I34" s="782"/>
      <c r="J34" s="782"/>
      <c r="K34" s="782"/>
      <c r="L34" s="782"/>
      <c r="M34" s="782"/>
      <c r="N34" s="782"/>
      <c r="O34" s="782"/>
      <c r="P34" s="782"/>
      <c r="Q34" s="782"/>
      <c r="R34" s="782"/>
      <c r="S34" s="782"/>
      <c r="T34" s="782"/>
      <c r="U34" s="783"/>
      <c r="V34" s="647"/>
      <c r="AA34" s="77"/>
    </row>
    <row r="35" spans="1:29" ht="14.1" customHeight="1" x14ac:dyDescent="0.25">
      <c r="A35" s="781" t="s">
        <v>33</v>
      </c>
      <c r="B35" s="876"/>
      <c r="C35" s="876"/>
      <c r="D35" s="876"/>
      <c r="E35" s="876"/>
      <c r="F35" s="876"/>
      <c r="G35" s="876"/>
      <c r="H35" s="876"/>
      <c r="I35" s="876"/>
      <c r="J35" s="876"/>
      <c r="K35" s="876"/>
      <c r="L35" s="876"/>
      <c r="M35" s="876"/>
      <c r="N35" s="876"/>
      <c r="O35" s="876"/>
      <c r="P35" s="876"/>
      <c r="Q35" s="876"/>
      <c r="R35" s="876"/>
      <c r="S35" s="876"/>
      <c r="T35" s="876"/>
      <c r="U35" s="877"/>
      <c r="V35" s="9" t="s">
        <v>32</v>
      </c>
      <c r="W35" s="9" t="s">
        <v>17</v>
      </c>
    </row>
    <row r="36" spans="1:29" ht="34.5" customHeight="1" x14ac:dyDescent="0.25">
      <c r="A36" s="867" t="s">
        <v>485</v>
      </c>
      <c r="B36" s="35" t="s">
        <v>73</v>
      </c>
      <c r="C36" s="862" t="s">
        <v>276</v>
      </c>
      <c r="D36" s="34">
        <v>1.3</v>
      </c>
      <c r="E36" s="34">
        <v>3.5</v>
      </c>
      <c r="F36" s="34">
        <v>1</v>
      </c>
      <c r="G36" s="34">
        <v>1.3</v>
      </c>
      <c r="H36" s="34">
        <v>1.2</v>
      </c>
      <c r="I36" s="34">
        <v>0.01</v>
      </c>
      <c r="J36" s="34">
        <v>0.01</v>
      </c>
      <c r="K36" s="34">
        <v>4</v>
      </c>
      <c r="L36" s="34">
        <v>1450</v>
      </c>
      <c r="M36" s="34">
        <v>2E-3</v>
      </c>
      <c r="N36" s="34">
        <v>1.5</v>
      </c>
      <c r="O36" s="34">
        <v>14</v>
      </c>
      <c r="P36" s="34">
        <v>1</v>
      </c>
      <c r="Q36" s="34">
        <f t="shared" ref="Q36:Q39" si="0">ROUND((W36/V36),0)</f>
        <v>80</v>
      </c>
      <c r="R36" s="28" t="s">
        <v>75</v>
      </c>
      <c r="S36" s="28">
        <v>2908</v>
      </c>
      <c r="T36" s="34">
        <f t="shared" ref="T36:T39" si="1">ROUND((D36*E36*F36*K36*N36*L36*I36*J36/3600)+(G36*H36*I36*M36*O36*P36),4)</f>
        <v>1.5E-3</v>
      </c>
      <c r="U36" s="34">
        <f t="shared" ref="U36:U39" si="2">ROUND((((3.6*T36*Q36)/1000)),4)</f>
        <v>4.0000000000000002E-4</v>
      </c>
      <c r="V36" s="647">
        <v>25</v>
      </c>
      <c r="W36" s="647">
        <f>4970*0.4</f>
        <v>1988</v>
      </c>
      <c r="Y36" s="2"/>
      <c r="Z36" s="2"/>
    </row>
    <row r="37" spans="1:29" ht="34.5" customHeight="1" x14ac:dyDescent="0.25">
      <c r="A37" s="881"/>
      <c r="B37" s="35" t="s">
        <v>74</v>
      </c>
      <c r="C37" s="863"/>
      <c r="D37" s="34">
        <v>1.9</v>
      </c>
      <c r="E37" s="34">
        <v>3.5</v>
      </c>
      <c r="F37" s="34">
        <v>1</v>
      </c>
      <c r="G37" s="34">
        <v>1.3</v>
      </c>
      <c r="H37" s="34">
        <v>1.2</v>
      </c>
      <c r="I37" s="34">
        <v>0.01</v>
      </c>
      <c r="J37" s="34">
        <v>0.01</v>
      </c>
      <c r="K37" s="34">
        <v>3</v>
      </c>
      <c r="L37" s="34">
        <v>1450</v>
      </c>
      <c r="M37" s="34">
        <v>2E-3</v>
      </c>
      <c r="N37" s="34">
        <v>1.5</v>
      </c>
      <c r="O37" s="34">
        <v>14</v>
      </c>
      <c r="P37" s="34">
        <v>1</v>
      </c>
      <c r="Q37" s="34">
        <f t="shared" si="0"/>
        <v>75</v>
      </c>
      <c r="R37" s="28" t="s">
        <v>75</v>
      </c>
      <c r="S37" s="28">
        <v>2908</v>
      </c>
      <c r="T37" s="34">
        <f t="shared" si="1"/>
        <v>1.6000000000000001E-3</v>
      </c>
      <c r="U37" s="34">
        <f t="shared" si="2"/>
        <v>4.0000000000000002E-4</v>
      </c>
      <c r="V37" s="647">
        <v>40</v>
      </c>
      <c r="W37" s="647">
        <f>4970*0.6</f>
        <v>2982</v>
      </c>
      <c r="Y37" s="2"/>
      <c r="Z37" s="2"/>
    </row>
    <row r="38" spans="1:29" ht="34.5" customHeight="1" x14ac:dyDescent="0.25">
      <c r="A38" s="881"/>
      <c r="B38" s="35" t="s">
        <v>73</v>
      </c>
      <c r="C38" s="862" t="s">
        <v>682</v>
      </c>
      <c r="D38" s="34">
        <v>1.3</v>
      </c>
      <c r="E38" s="34">
        <v>3.5</v>
      </c>
      <c r="F38" s="34">
        <v>1</v>
      </c>
      <c r="G38" s="34">
        <v>1.3</v>
      </c>
      <c r="H38" s="34">
        <v>1.2</v>
      </c>
      <c r="I38" s="34">
        <v>0.01</v>
      </c>
      <c r="J38" s="34">
        <v>0.01</v>
      </c>
      <c r="K38" s="34">
        <v>4</v>
      </c>
      <c r="L38" s="34">
        <v>1450</v>
      </c>
      <c r="M38" s="34">
        <v>2E-3</v>
      </c>
      <c r="N38" s="34">
        <v>1.5</v>
      </c>
      <c r="O38" s="34">
        <v>14</v>
      </c>
      <c r="P38" s="34">
        <v>1</v>
      </c>
      <c r="Q38" s="34">
        <f t="shared" si="0"/>
        <v>37</v>
      </c>
      <c r="R38" s="28" t="s">
        <v>75</v>
      </c>
      <c r="S38" s="28">
        <v>2908</v>
      </c>
      <c r="T38" s="34">
        <f t="shared" si="1"/>
        <v>1.5E-3</v>
      </c>
      <c r="U38" s="34">
        <f t="shared" si="2"/>
        <v>2.0000000000000001E-4</v>
      </c>
      <c r="V38" s="9">
        <v>30</v>
      </c>
      <c r="W38" s="9">
        <f>2760*0.4</f>
        <v>1104</v>
      </c>
      <c r="Y38" s="2"/>
      <c r="Z38" s="2"/>
      <c r="AA38" s="2"/>
    </row>
    <row r="39" spans="1:29" ht="34.5" customHeight="1" x14ac:dyDescent="0.25">
      <c r="A39" s="847"/>
      <c r="B39" s="35" t="s">
        <v>74</v>
      </c>
      <c r="C39" s="863"/>
      <c r="D39" s="34">
        <v>1.9</v>
      </c>
      <c r="E39" s="34">
        <v>3.5</v>
      </c>
      <c r="F39" s="34">
        <v>1</v>
      </c>
      <c r="G39" s="34">
        <v>1.3</v>
      </c>
      <c r="H39" s="34">
        <v>1.2</v>
      </c>
      <c r="I39" s="34">
        <v>0.01</v>
      </c>
      <c r="J39" s="34">
        <v>0.01</v>
      </c>
      <c r="K39" s="34">
        <v>3</v>
      </c>
      <c r="L39" s="34">
        <v>1450</v>
      </c>
      <c r="M39" s="34">
        <v>2E-3</v>
      </c>
      <c r="N39" s="34">
        <v>1.5</v>
      </c>
      <c r="O39" s="34">
        <v>14</v>
      </c>
      <c r="P39" s="34">
        <v>1</v>
      </c>
      <c r="Q39" s="34">
        <f t="shared" si="0"/>
        <v>37</v>
      </c>
      <c r="R39" s="28" t="s">
        <v>75</v>
      </c>
      <c r="S39" s="28">
        <v>2908</v>
      </c>
      <c r="T39" s="34">
        <f t="shared" si="1"/>
        <v>1.6000000000000001E-3</v>
      </c>
      <c r="U39" s="34">
        <f t="shared" si="2"/>
        <v>2.0000000000000001E-4</v>
      </c>
      <c r="V39" s="9">
        <v>45</v>
      </c>
      <c r="W39" s="9">
        <f>2760*0.6</f>
        <v>1656</v>
      </c>
      <c r="Y39" s="2"/>
      <c r="Z39" s="2"/>
      <c r="AA39" s="2"/>
    </row>
    <row r="40" spans="1:29" ht="34.5" customHeight="1" x14ac:dyDescent="0.25">
      <c r="A40" s="847"/>
      <c r="B40" s="35" t="s">
        <v>73</v>
      </c>
      <c r="C40" s="862" t="s">
        <v>280</v>
      </c>
      <c r="D40" s="34">
        <v>1.3</v>
      </c>
      <c r="E40" s="34">
        <v>3.5</v>
      </c>
      <c r="F40" s="34">
        <v>1</v>
      </c>
      <c r="G40" s="34">
        <v>1.3</v>
      </c>
      <c r="H40" s="34">
        <v>1.2</v>
      </c>
      <c r="I40" s="34">
        <v>0.01</v>
      </c>
      <c r="J40" s="34">
        <v>0.01</v>
      </c>
      <c r="K40" s="34">
        <v>20</v>
      </c>
      <c r="L40" s="34">
        <v>1450</v>
      </c>
      <c r="M40" s="34">
        <v>4.0000000000000001E-3</v>
      </c>
      <c r="N40" s="34">
        <v>1.5</v>
      </c>
      <c r="O40" s="34">
        <v>14</v>
      </c>
      <c r="P40" s="34">
        <v>2</v>
      </c>
      <c r="Q40" s="34">
        <f t="shared" ref="Q40:Q41" si="3">ROUND((W40/V40),0)</f>
        <v>195</v>
      </c>
      <c r="R40" s="28" t="s">
        <v>75</v>
      </c>
      <c r="S40" s="28">
        <v>2908</v>
      </c>
      <c r="T40" s="34">
        <f t="shared" ref="T40:T41" si="4">ROUND((D40*E40*F40*K40*N40*L40*I40*J40/3600)+(G40*H40*I40*M40*O40*P40),4)</f>
        <v>7.1999999999999998E-3</v>
      </c>
      <c r="U40" s="34">
        <f t="shared" ref="U40:U41" si="5">ROUND((((3.6*T40*Q40)/1000)),4)</f>
        <v>5.1000000000000004E-3</v>
      </c>
      <c r="V40" s="9">
        <v>150</v>
      </c>
      <c r="W40" s="9">
        <f>(73188)*0.4</f>
        <v>29275.200000000001</v>
      </c>
      <c r="Y40" s="2"/>
    </row>
    <row r="41" spans="1:29" ht="34.5" customHeight="1" x14ac:dyDescent="0.25">
      <c r="A41" s="846"/>
      <c r="B41" s="35" t="s">
        <v>74</v>
      </c>
      <c r="C41" s="863"/>
      <c r="D41" s="34">
        <v>1.9</v>
      </c>
      <c r="E41" s="34">
        <v>3.5</v>
      </c>
      <c r="F41" s="34">
        <v>1</v>
      </c>
      <c r="G41" s="34">
        <v>1.3</v>
      </c>
      <c r="H41" s="34">
        <v>1.2</v>
      </c>
      <c r="I41" s="34">
        <v>0.01</v>
      </c>
      <c r="J41" s="34">
        <v>0.01</v>
      </c>
      <c r="K41" s="34">
        <v>14</v>
      </c>
      <c r="L41" s="34">
        <v>1450</v>
      </c>
      <c r="M41" s="34">
        <v>4.0000000000000001E-3</v>
      </c>
      <c r="N41" s="34">
        <v>1.5</v>
      </c>
      <c r="O41" s="34">
        <v>14</v>
      </c>
      <c r="P41" s="34">
        <v>1</v>
      </c>
      <c r="Q41" s="34">
        <f t="shared" si="3"/>
        <v>220</v>
      </c>
      <c r="R41" s="28" t="s">
        <v>75</v>
      </c>
      <c r="S41" s="28">
        <v>2908</v>
      </c>
      <c r="T41" s="34">
        <f t="shared" si="4"/>
        <v>6.4999999999999997E-3</v>
      </c>
      <c r="U41" s="34">
        <f t="shared" si="5"/>
        <v>5.1000000000000004E-3</v>
      </c>
      <c r="V41" s="9">
        <v>200</v>
      </c>
      <c r="W41" s="9">
        <f>(73188)*0.6</f>
        <v>43912.799999999996</v>
      </c>
      <c r="Y41" s="2"/>
      <c r="AA41" s="75"/>
      <c r="AC41" s="3"/>
    </row>
    <row r="42" spans="1:29" ht="25.5" x14ac:dyDescent="0.25">
      <c r="A42" s="873" t="s">
        <v>484</v>
      </c>
      <c r="B42" s="874"/>
      <c r="C42" s="874"/>
      <c r="D42" s="874"/>
      <c r="E42" s="874"/>
      <c r="F42" s="874"/>
      <c r="G42" s="874"/>
      <c r="H42" s="874"/>
      <c r="I42" s="874"/>
      <c r="J42" s="874"/>
      <c r="K42" s="874"/>
      <c r="L42" s="874"/>
      <c r="M42" s="874"/>
      <c r="N42" s="874"/>
      <c r="O42" s="874"/>
      <c r="P42" s="874"/>
      <c r="Q42" s="875"/>
      <c r="R42" s="29" t="s">
        <v>75</v>
      </c>
      <c r="S42" s="29">
        <v>2908</v>
      </c>
      <c r="T42" s="36">
        <f>T36+T39+T37+T38+T40+T41</f>
        <v>1.9900000000000001E-2</v>
      </c>
      <c r="U42" s="36">
        <f>U36+U39+U37+U38+U40+U41</f>
        <v>1.14E-2</v>
      </c>
    </row>
    <row r="43" spans="1:29" x14ac:dyDescent="0.25">
      <c r="A43" s="767" t="s">
        <v>94</v>
      </c>
      <c r="B43" s="868"/>
      <c r="C43" s="868"/>
      <c r="D43" s="868"/>
      <c r="E43" s="868"/>
      <c r="F43" s="868"/>
      <c r="G43" s="868"/>
      <c r="H43" s="868"/>
      <c r="I43" s="868"/>
      <c r="J43" s="868"/>
      <c r="K43" s="868"/>
      <c r="L43" s="868"/>
      <c r="M43" s="868"/>
      <c r="N43" s="868"/>
      <c r="O43" s="868"/>
      <c r="P43" s="868"/>
      <c r="Q43" s="868"/>
      <c r="R43" s="868"/>
      <c r="S43" s="868"/>
      <c r="T43" s="868"/>
      <c r="U43" s="869"/>
      <c r="V43" s="358"/>
      <c r="W43" s="358"/>
    </row>
    <row r="44" spans="1:29" ht="25.5" x14ac:dyDescent="0.25">
      <c r="A44" s="867">
        <v>8005</v>
      </c>
      <c r="B44" s="35" t="s">
        <v>73</v>
      </c>
      <c r="C44" s="862" t="s">
        <v>276</v>
      </c>
      <c r="D44" s="34">
        <v>1.3</v>
      </c>
      <c r="E44" s="34">
        <v>3.5</v>
      </c>
      <c r="F44" s="34">
        <v>1</v>
      </c>
      <c r="G44" s="34">
        <v>1.3</v>
      </c>
      <c r="H44" s="34">
        <v>1.2</v>
      </c>
      <c r="I44" s="34">
        <v>0.01</v>
      </c>
      <c r="J44" s="34">
        <v>0.01</v>
      </c>
      <c r="K44" s="34">
        <v>16</v>
      </c>
      <c r="L44" s="34">
        <v>1450</v>
      </c>
      <c r="M44" s="34">
        <v>2E-3</v>
      </c>
      <c r="N44" s="34">
        <v>1.5</v>
      </c>
      <c r="O44" s="34">
        <v>14</v>
      </c>
      <c r="P44" s="34">
        <v>2</v>
      </c>
      <c r="Q44" s="34">
        <f t="shared" ref="Q44:Q51" si="6">ROUND((W44/V44),0)</f>
        <v>722</v>
      </c>
      <c r="R44" s="28" t="s">
        <v>75</v>
      </c>
      <c r="S44" s="28">
        <v>2908</v>
      </c>
      <c r="T44" s="34">
        <f t="shared" ref="T44:T51" si="7">ROUND((D44*E44*F44*K44*N44*L44*I44*J44/3600)+(G44*H44*I44*M44*O44*P44),4)</f>
        <v>5.3E-3</v>
      </c>
      <c r="U44" s="34">
        <f t="shared" ref="U44:U51" si="8">ROUND((((3.6*T44*Q44)/1000)),4)</f>
        <v>1.38E-2</v>
      </c>
      <c r="V44" s="9">
        <v>120</v>
      </c>
      <c r="W44" s="9">
        <f>216720*0.4</f>
        <v>86688</v>
      </c>
    </row>
    <row r="45" spans="1:29" ht="38.25" x14ac:dyDescent="0.25">
      <c r="A45" s="847"/>
      <c r="B45" s="35" t="s">
        <v>74</v>
      </c>
      <c r="C45" s="863"/>
      <c r="D45" s="34">
        <v>1.9</v>
      </c>
      <c r="E45" s="34">
        <v>3.5</v>
      </c>
      <c r="F45" s="34">
        <v>1</v>
      </c>
      <c r="G45" s="34">
        <v>1.3</v>
      </c>
      <c r="H45" s="34">
        <v>1.2</v>
      </c>
      <c r="I45" s="34">
        <v>0.01</v>
      </c>
      <c r="J45" s="34">
        <v>0.01</v>
      </c>
      <c r="K45" s="34">
        <v>14</v>
      </c>
      <c r="L45" s="34">
        <v>1450</v>
      </c>
      <c r="M45" s="34">
        <v>2E-3</v>
      </c>
      <c r="N45" s="34">
        <v>1.5</v>
      </c>
      <c r="O45" s="34">
        <v>14</v>
      </c>
      <c r="P45" s="34">
        <v>2</v>
      </c>
      <c r="Q45" s="34">
        <f t="shared" si="6"/>
        <v>634</v>
      </c>
      <c r="R45" s="28" t="s">
        <v>75</v>
      </c>
      <c r="S45" s="28">
        <v>2908</v>
      </c>
      <c r="T45" s="34">
        <f t="shared" si="7"/>
        <v>6.4999999999999997E-3</v>
      </c>
      <c r="U45" s="34">
        <f t="shared" si="8"/>
        <v>1.4800000000000001E-2</v>
      </c>
      <c r="V45" s="9">
        <v>205</v>
      </c>
      <c r="W45" s="9">
        <f>216720*0.6</f>
        <v>130032</v>
      </c>
    </row>
    <row r="46" spans="1:29" ht="25.5" x14ac:dyDescent="0.25">
      <c r="A46" s="847"/>
      <c r="B46" s="35" t="s">
        <v>73</v>
      </c>
      <c r="C46" s="862" t="s">
        <v>682</v>
      </c>
      <c r="D46" s="34">
        <v>1.3</v>
      </c>
      <c r="E46" s="34">
        <v>3.5</v>
      </c>
      <c r="F46" s="34">
        <v>1</v>
      </c>
      <c r="G46" s="34">
        <v>1.3</v>
      </c>
      <c r="H46" s="34">
        <v>1.2</v>
      </c>
      <c r="I46" s="34">
        <v>0.01</v>
      </c>
      <c r="J46" s="34">
        <v>0.01</v>
      </c>
      <c r="K46" s="6">
        <v>24</v>
      </c>
      <c r="L46" s="34">
        <v>1450</v>
      </c>
      <c r="M46" s="34">
        <v>2E-3</v>
      </c>
      <c r="N46" s="34">
        <v>1.5</v>
      </c>
      <c r="O46" s="34">
        <v>14</v>
      </c>
      <c r="P46" s="34">
        <v>2</v>
      </c>
      <c r="Q46" s="34">
        <f t="shared" si="6"/>
        <v>494</v>
      </c>
      <c r="R46" s="28" t="s">
        <v>75</v>
      </c>
      <c r="S46" s="28">
        <v>2908</v>
      </c>
      <c r="T46" s="34">
        <f t="shared" si="7"/>
        <v>7.4999999999999997E-3</v>
      </c>
      <c r="U46" s="34">
        <f t="shared" si="8"/>
        <v>1.3299999999999999E-2</v>
      </c>
      <c r="V46" s="9">
        <v>175</v>
      </c>
      <c r="W46" s="9">
        <f>216288*0.4</f>
        <v>86515.200000000012</v>
      </c>
    </row>
    <row r="47" spans="1:29" ht="38.25" x14ac:dyDescent="0.25">
      <c r="A47" s="847"/>
      <c r="B47" s="35" t="s">
        <v>74</v>
      </c>
      <c r="C47" s="863"/>
      <c r="D47" s="34">
        <v>1.9</v>
      </c>
      <c r="E47" s="34">
        <v>3.5</v>
      </c>
      <c r="F47" s="34">
        <v>1</v>
      </c>
      <c r="G47" s="34">
        <v>1.3</v>
      </c>
      <c r="H47" s="34">
        <v>1.2</v>
      </c>
      <c r="I47" s="34">
        <v>0.01</v>
      </c>
      <c r="J47" s="34">
        <v>0.01</v>
      </c>
      <c r="K47" s="6">
        <v>23</v>
      </c>
      <c r="L47" s="34">
        <v>1450</v>
      </c>
      <c r="M47" s="34">
        <v>2E-3</v>
      </c>
      <c r="N47" s="34">
        <v>1.5</v>
      </c>
      <c r="O47" s="34">
        <v>14</v>
      </c>
      <c r="P47" s="34">
        <v>1</v>
      </c>
      <c r="Q47" s="34">
        <f t="shared" si="6"/>
        <v>382</v>
      </c>
      <c r="R47" s="28" t="s">
        <v>75</v>
      </c>
      <c r="S47" s="28">
        <v>2908</v>
      </c>
      <c r="T47" s="34">
        <f t="shared" si="7"/>
        <v>9.7000000000000003E-3</v>
      </c>
      <c r="U47" s="34">
        <f t="shared" si="8"/>
        <v>1.3299999999999999E-2</v>
      </c>
      <c r="V47" s="9">
        <v>340</v>
      </c>
      <c r="W47" s="9">
        <f>216288*0.6</f>
        <v>129772.79999999999</v>
      </c>
    </row>
    <row r="48" spans="1:29" ht="25.5" x14ac:dyDescent="0.25">
      <c r="A48" s="847"/>
      <c r="B48" s="5" t="s">
        <v>73</v>
      </c>
      <c r="C48" s="871" t="s">
        <v>279</v>
      </c>
      <c r="D48" s="6">
        <v>1.3</v>
      </c>
      <c r="E48" s="6">
        <v>3.5</v>
      </c>
      <c r="F48" s="6">
        <v>1</v>
      </c>
      <c r="G48" s="6">
        <v>1.3</v>
      </c>
      <c r="H48" s="6">
        <v>1.2</v>
      </c>
      <c r="I48" s="6">
        <v>0.01</v>
      </c>
      <c r="J48" s="6">
        <v>0.01</v>
      </c>
      <c r="K48" s="34">
        <v>7</v>
      </c>
      <c r="L48" s="6">
        <v>1450</v>
      </c>
      <c r="M48" s="6">
        <v>2E-3</v>
      </c>
      <c r="N48" s="6">
        <v>1.5</v>
      </c>
      <c r="O48" s="6">
        <v>14</v>
      </c>
      <c r="P48" s="6">
        <v>1</v>
      </c>
      <c r="Q48" s="6">
        <f t="shared" si="6"/>
        <v>72</v>
      </c>
      <c r="R48" s="1" t="s">
        <v>75</v>
      </c>
      <c r="S48" s="1">
        <v>2908</v>
      </c>
      <c r="T48" s="6">
        <f t="shared" si="7"/>
        <v>2.3999999999999998E-3</v>
      </c>
      <c r="U48" s="6">
        <f t="shared" si="8"/>
        <v>5.9999999999999995E-4</v>
      </c>
      <c r="V48" s="9">
        <v>40</v>
      </c>
      <c r="W48" s="9">
        <f>7220*0.4</f>
        <v>2888</v>
      </c>
      <c r="X48" s="9"/>
    </row>
    <row r="49" spans="1:27" ht="38.25" x14ac:dyDescent="0.25">
      <c r="A49" s="847"/>
      <c r="B49" s="5" t="s">
        <v>74</v>
      </c>
      <c r="C49" s="872"/>
      <c r="D49" s="6">
        <v>1.9</v>
      </c>
      <c r="E49" s="6">
        <v>3.5</v>
      </c>
      <c r="F49" s="6">
        <v>1</v>
      </c>
      <c r="G49" s="6">
        <v>1.3</v>
      </c>
      <c r="H49" s="6">
        <v>1.2</v>
      </c>
      <c r="I49" s="6">
        <v>0.01</v>
      </c>
      <c r="J49" s="6">
        <v>0.01</v>
      </c>
      <c r="K49" s="34">
        <v>8</v>
      </c>
      <c r="L49" s="6">
        <v>1450</v>
      </c>
      <c r="M49" s="6">
        <v>2E-3</v>
      </c>
      <c r="N49" s="6">
        <v>1.5</v>
      </c>
      <c r="O49" s="6">
        <v>14</v>
      </c>
      <c r="P49" s="6">
        <v>1</v>
      </c>
      <c r="Q49" s="6">
        <f t="shared" si="6"/>
        <v>108</v>
      </c>
      <c r="R49" s="1" t="s">
        <v>75</v>
      </c>
      <c r="S49" s="1">
        <v>2908</v>
      </c>
      <c r="T49" s="6">
        <f t="shared" si="7"/>
        <v>3.7000000000000002E-3</v>
      </c>
      <c r="U49" s="6">
        <f t="shared" si="8"/>
        <v>1.4E-3</v>
      </c>
      <c r="V49" s="9">
        <v>40</v>
      </c>
      <c r="W49" s="9">
        <f>7220*0.6</f>
        <v>4332</v>
      </c>
      <c r="X49" s="9"/>
    </row>
    <row r="50" spans="1:27" ht="25.5" x14ac:dyDescent="0.25">
      <c r="A50" s="866"/>
      <c r="B50" s="35" t="s">
        <v>73</v>
      </c>
      <c r="C50" s="862" t="s">
        <v>280</v>
      </c>
      <c r="D50" s="34">
        <v>1.3</v>
      </c>
      <c r="E50" s="34">
        <v>3.5</v>
      </c>
      <c r="F50" s="34">
        <v>1</v>
      </c>
      <c r="G50" s="34">
        <v>1.3</v>
      </c>
      <c r="H50" s="34">
        <v>1.2</v>
      </c>
      <c r="I50" s="34">
        <v>0.01</v>
      </c>
      <c r="J50" s="34">
        <v>0.01</v>
      </c>
      <c r="K50" s="34">
        <v>20</v>
      </c>
      <c r="L50" s="34">
        <v>1450</v>
      </c>
      <c r="M50" s="34">
        <v>4.0000000000000001E-3</v>
      </c>
      <c r="N50" s="34">
        <v>1.5</v>
      </c>
      <c r="O50" s="34">
        <v>14</v>
      </c>
      <c r="P50" s="34">
        <v>2</v>
      </c>
      <c r="Q50" s="34">
        <f t="shared" si="6"/>
        <v>310</v>
      </c>
      <c r="R50" s="28" t="s">
        <v>75</v>
      </c>
      <c r="S50" s="28">
        <v>2908</v>
      </c>
      <c r="T50" s="34">
        <f t="shared" si="7"/>
        <v>7.1999999999999998E-3</v>
      </c>
      <c r="U50" s="34">
        <f t="shared" si="8"/>
        <v>8.0000000000000002E-3</v>
      </c>
      <c r="V50" s="9">
        <v>150</v>
      </c>
      <c r="W50" s="9">
        <f>(116215)*0.4</f>
        <v>46486</v>
      </c>
      <c r="X50" s="9"/>
    </row>
    <row r="51" spans="1:27" ht="38.25" x14ac:dyDescent="0.25">
      <c r="A51" s="829"/>
      <c r="B51" s="35" t="s">
        <v>74</v>
      </c>
      <c r="C51" s="863"/>
      <c r="D51" s="34">
        <v>1.9</v>
      </c>
      <c r="E51" s="34">
        <v>3.5</v>
      </c>
      <c r="F51" s="34">
        <v>1</v>
      </c>
      <c r="G51" s="34">
        <v>1.3</v>
      </c>
      <c r="H51" s="34">
        <v>1.2</v>
      </c>
      <c r="I51" s="34">
        <v>0.01</v>
      </c>
      <c r="J51" s="34">
        <v>0.01</v>
      </c>
      <c r="K51" s="34">
        <v>14</v>
      </c>
      <c r="L51" s="34">
        <v>1450</v>
      </c>
      <c r="M51" s="34">
        <v>4.0000000000000001E-3</v>
      </c>
      <c r="N51" s="34">
        <v>1.5</v>
      </c>
      <c r="O51" s="34">
        <v>14</v>
      </c>
      <c r="P51" s="34">
        <v>1</v>
      </c>
      <c r="Q51" s="34">
        <f t="shared" si="6"/>
        <v>349</v>
      </c>
      <c r="R51" s="28" t="s">
        <v>75</v>
      </c>
      <c r="S51" s="28">
        <v>2908</v>
      </c>
      <c r="T51" s="34">
        <f t="shared" si="7"/>
        <v>6.4999999999999997E-3</v>
      </c>
      <c r="U51" s="34">
        <f t="shared" si="8"/>
        <v>8.2000000000000007E-3</v>
      </c>
      <c r="V51" s="9">
        <v>200</v>
      </c>
      <c r="W51" s="9">
        <f>(116215)*0.6</f>
        <v>69729</v>
      </c>
      <c r="X51" s="9"/>
    </row>
    <row r="52" spans="1:27" ht="25.5" x14ac:dyDescent="0.25">
      <c r="A52" s="873" t="s">
        <v>489</v>
      </c>
      <c r="B52" s="874"/>
      <c r="C52" s="874"/>
      <c r="D52" s="874"/>
      <c r="E52" s="874"/>
      <c r="F52" s="874"/>
      <c r="G52" s="874"/>
      <c r="H52" s="874"/>
      <c r="I52" s="874"/>
      <c r="J52" s="874"/>
      <c r="K52" s="874"/>
      <c r="L52" s="874"/>
      <c r="M52" s="874"/>
      <c r="N52" s="874"/>
      <c r="O52" s="874"/>
      <c r="P52" s="874"/>
      <c r="Q52" s="875"/>
      <c r="R52" s="29" t="s">
        <v>75</v>
      </c>
      <c r="S52" s="29">
        <v>2908</v>
      </c>
      <c r="T52" s="36">
        <f>T44+T45+T46+T47+T48+T49+T50+T51</f>
        <v>4.8799999999999996E-2</v>
      </c>
      <c r="U52" s="36">
        <f>U44+U45+U46+U47+U48+U49+U50+U51</f>
        <v>7.3400000000000007E-2</v>
      </c>
      <c r="V52" s="358"/>
      <c r="W52" s="358"/>
    </row>
    <row r="53" spans="1:27" x14ac:dyDescent="0.25">
      <c r="A53" s="767" t="s">
        <v>133</v>
      </c>
      <c r="B53" s="868"/>
      <c r="C53" s="868"/>
      <c r="D53" s="868"/>
      <c r="E53" s="868"/>
      <c r="F53" s="868"/>
      <c r="G53" s="868"/>
      <c r="H53" s="868"/>
      <c r="I53" s="868"/>
      <c r="J53" s="868"/>
      <c r="K53" s="868"/>
      <c r="L53" s="868"/>
      <c r="M53" s="868"/>
      <c r="N53" s="868"/>
      <c r="O53" s="868"/>
      <c r="P53" s="868"/>
      <c r="Q53" s="868"/>
      <c r="R53" s="868"/>
      <c r="S53" s="868"/>
      <c r="T53" s="868"/>
      <c r="U53" s="869"/>
      <c r="V53" s="358"/>
      <c r="W53" s="358"/>
      <c r="Y53" s="3"/>
    </row>
    <row r="54" spans="1:27" ht="25.5" x14ac:dyDescent="0.25">
      <c r="A54" s="867" t="s">
        <v>535</v>
      </c>
      <c r="B54" s="35" t="s">
        <v>73</v>
      </c>
      <c r="C54" s="862" t="s">
        <v>276</v>
      </c>
      <c r="D54" s="34">
        <v>1.3</v>
      </c>
      <c r="E54" s="34">
        <v>3.5</v>
      </c>
      <c r="F54" s="34">
        <v>1</v>
      </c>
      <c r="G54" s="34">
        <v>1.3</v>
      </c>
      <c r="H54" s="34">
        <v>1.2</v>
      </c>
      <c r="I54" s="34">
        <v>0.01</v>
      </c>
      <c r="J54" s="34">
        <v>0.01</v>
      </c>
      <c r="K54" s="34">
        <v>4</v>
      </c>
      <c r="L54" s="34">
        <v>1450</v>
      </c>
      <c r="M54" s="34">
        <v>2E-3</v>
      </c>
      <c r="N54" s="34">
        <v>1.5</v>
      </c>
      <c r="O54" s="34">
        <v>14</v>
      </c>
      <c r="P54" s="34">
        <v>1</v>
      </c>
      <c r="Q54" s="34">
        <f t="shared" ref="Q54:Q57" si="9">ROUND((W54/V54),0)</f>
        <v>154</v>
      </c>
      <c r="R54" s="28" t="s">
        <v>75</v>
      </c>
      <c r="S54" s="28">
        <v>2908</v>
      </c>
      <c r="T54" s="34">
        <f t="shared" ref="T54:T57" si="10">ROUND((D54*E54*F54*K54*N54*L54*I54*J54/3600)+(G54*H54*I54*M54*O54*P54),4)</f>
        <v>1.5E-3</v>
      </c>
      <c r="U54" s="34">
        <f t="shared" ref="U54:U57" si="11">ROUND((((3.6*T54*Q54)/1000)),4)</f>
        <v>8.0000000000000004E-4</v>
      </c>
      <c r="V54" s="647">
        <v>25</v>
      </c>
      <c r="W54" s="647">
        <f>9603*0.4</f>
        <v>3841.2000000000003</v>
      </c>
      <c r="Y54" s="2"/>
    </row>
    <row r="55" spans="1:27" ht="38.25" x14ac:dyDescent="0.25">
      <c r="A55" s="847"/>
      <c r="B55" s="35" t="s">
        <v>74</v>
      </c>
      <c r="C55" s="863"/>
      <c r="D55" s="34">
        <v>1.9</v>
      </c>
      <c r="E55" s="34">
        <v>3.5</v>
      </c>
      <c r="F55" s="34">
        <v>1</v>
      </c>
      <c r="G55" s="34">
        <v>1.3</v>
      </c>
      <c r="H55" s="34">
        <v>1.2</v>
      </c>
      <c r="I55" s="34">
        <v>0.01</v>
      </c>
      <c r="J55" s="34">
        <v>0.01</v>
      </c>
      <c r="K55" s="34">
        <v>3</v>
      </c>
      <c r="L55" s="34">
        <v>1450</v>
      </c>
      <c r="M55" s="34">
        <v>2E-3</v>
      </c>
      <c r="N55" s="34">
        <v>1.5</v>
      </c>
      <c r="O55" s="34">
        <v>14</v>
      </c>
      <c r="P55" s="34">
        <v>1</v>
      </c>
      <c r="Q55" s="34">
        <f t="shared" si="9"/>
        <v>144</v>
      </c>
      <c r="R55" s="28" t="s">
        <v>75</v>
      </c>
      <c r="S55" s="28">
        <v>2908</v>
      </c>
      <c r="T55" s="34">
        <f t="shared" si="10"/>
        <v>1.6000000000000001E-3</v>
      </c>
      <c r="U55" s="34">
        <f t="shared" si="11"/>
        <v>8.0000000000000004E-4</v>
      </c>
      <c r="V55" s="647">
        <v>40</v>
      </c>
      <c r="W55" s="647">
        <f>9603*0.6</f>
        <v>5761.8</v>
      </c>
      <c r="Y55" s="2"/>
    </row>
    <row r="56" spans="1:27" ht="25.5" x14ac:dyDescent="0.25">
      <c r="A56" s="847"/>
      <c r="B56" s="35" t="s">
        <v>73</v>
      </c>
      <c r="C56" s="862" t="s">
        <v>279</v>
      </c>
      <c r="D56" s="34">
        <v>1.3</v>
      </c>
      <c r="E56" s="34">
        <v>3.5</v>
      </c>
      <c r="F56" s="34">
        <v>1</v>
      </c>
      <c r="G56" s="34">
        <v>1.3</v>
      </c>
      <c r="H56" s="34">
        <v>1.2</v>
      </c>
      <c r="I56" s="34">
        <v>0.01</v>
      </c>
      <c r="J56" s="34">
        <v>0.01</v>
      </c>
      <c r="K56" s="34">
        <v>5</v>
      </c>
      <c r="L56" s="34">
        <v>1450</v>
      </c>
      <c r="M56" s="34">
        <v>2E-3</v>
      </c>
      <c r="N56" s="34">
        <v>1.5</v>
      </c>
      <c r="O56" s="34">
        <v>14</v>
      </c>
      <c r="P56" s="34">
        <v>1</v>
      </c>
      <c r="Q56" s="34">
        <f t="shared" si="9"/>
        <v>99</v>
      </c>
      <c r="R56" s="28" t="s">
        <v>75</v>
      </c>
      <c r="S56" s="28">
        <v>2908</v>
      </c>
      <c r="T56" s="34">
        <f t="shared" si="10"/>
        <v>1.8E-3</v>
      </c>
      <c r="U56" s="34">
        <f t="shared" si="11"/>
        <v>5.9999999999999995E-4</v>
      </c>
      <c r="V56" s="9">
        <v>35</v>
      </c>
      <c r="W56" s="9">
        <f>8630*0.4</f>
        <v>3452</v>
      </c>
      <c r="Z56" s="2"/>
      <c r="AA56" s="2"/>
    </row>
    <row r="57" spans="1:27" ht="38.25" x14ac:dyDescent="0.25">
      <c r="A57" s="846"/>
      <c r="B57" s="35" t="s">
        <v>74</v>
      </c>
      <c r="C57" s="863"/>
      <c r="D57" s="34">
        <v>1.9</v>
      </c>
      <c r="E57" s="34">
        <v>3.5</v>
      </c>
      <c r="F57" s="34">
        <v>1</v>
      </c>
      <c r="G57" s="34">
        <v>1.3</v>
      </c>
      <c r="H57" s="34">
        <v>1.2</v>
      </c>
      <c r="I57" s="34">
        <v>0.01</v>
      </c>
      <c r="J57" s="34">
        <v>0.01</v>
      </c>
      <c r="K57" s="34">
        <v>4</v>
      </c>
      <c r="L57" s="34">
        <v>1450</v>
      </c>
      <c r="M57" s="34">
        <v>2E-3</v>
      </c>
      <c r="N57" s="34">
        <v>1.5</v>
      </c>
      <c r="O57" s="34">
        <v>14</v>
      </c>
      <c r="P57" s="34">
        <v>1</v>
      </c>
      <c r="Q57" s="34">
        <f t="shared" si="9"/>
        <v>148</v>
      </c>
      <c r="R57" s="28" t="s">
        <v>75</v>
      </c>
      <c r="S57" s="28">
        <v>2908</v>
      </c>
      <c r="T57" s="34">
        <f t="shared" si="10"/>
        <v>2E-3</v>
      </c>
      <c r="U57" s="34">
        <f t="shared" si="11"/>
        <v>1.1000000000000001E-3</v>
      </c>
      <c r="V57" s="9">
        <v>35</v>
      </c>
      <c r="W57" s="9">
        <f>8630*0.6</f>
        <v>5178</v>
      </c>
      <c r="Z57" s="2"/>
      <c r="AA57" s="2"/>
    </row>
    <row r="58" spans="1:27" ht="25.5" x14ac:dyDescent="0.25">
      <c r="A58" s="873" t="s">
        <v>493</v>
      </c>
      <c r="B58" s="874"/>
      <c r="C58" s="874"/>
      <c r="D58" s="874"/>
      <c r="E58" s="874"/>
      <c r="F58" s="874"/>
      <c r="G58" s="874"/>
      <c r="H58" s="874"/>
      <c r="I58" s="874"/>
      <c r="J58" s="874"/>
      <c r="K58" s="874"/>
      <c r="L58" s="874"/>
      <c r="M58" s="874"/>
      <c r="N58" s="874"/>
      <c r="O58" s="874"/>
      <c r="P58" s="874"/>
      <c r="Q58" s="875"/>
      <c r="R58" s="29" t="s">
        <v>75</v>
      </c>
      <c r="S58" s="29">
        <v>2908</v>
      </c>
      <c r="T58" s="36">
        <f>T56+T57+T54+T55</f>
        <v>6.8999999999999999E-3</v>
      </c>
      <c r="U58" s="36">
        <f>U56+U57+U54+U55</f>
        <v>3.3E-3</v>
      </c>
      <c r="V58" s="697">
        <f>T42+T52+T58</f>
        <v>7.5600000000000001E-2</v>
      </c>
      <c r="W58" s="698">
        <f>U42+U52+U58</f>
        <v>8.8100000000000012E-2</v>
      </c>
      <c r="X58" s="705">
        <v>2026</v>
      </c>
      <c r="Y58" s="3"/>
    </row>
    <row r="59" spans="1:27" x14ac:dyDescent="0.25">
      <c r="A59" s="781" t="s">
        <v>97</v>
      </c>
      <c r="B59" s="782"/>
      <c r="C59" s="782"/>
      <c r="D59" s="782"/>
      <c r="E59" s="782"/>
      <c r="F59" s="782"/>
      <c r="G59" s="782"/>
      <c r="H59" s="782"/>
      <c r="I59" s="782"/>
      <c r="J59" s="782"/>
      <c r="K59" s="782"/>
      <c r="L59" s="782"/>
      <c r="M59" s="782"/>
      <c r="N59" s="782"/>
      <c r="O59" s="782"/>
      <c r="P59" s="782"/>
      <c r="Q59" s="782"/>
      <c r="R59" s="782"/>
      <c r="S59" s="782"/>
      <c r="T59" s="782"/>
      <c r="U59" s="783"/>
      <c r="V59" s="358"/>
      <c r="W59" s="358"/>
    </row>
    <row r="60" spans="1:27" x14ac:dyDescent="0.25">
      <c r="A60" s="781" t="s">
        <v>94</v>
      </c>
      <c r="B60" s="876"/>
      <c r="C60" s="876"/>
      <c r="D60" s="876"/>
      <c r="E60" s="876"/>
      <c r="F60" s="876"/>
      <c r="G60" s="876"/>
      <c r="H60" s="876"/>
      <c r="I60" s="876"/>
      <c r="J60" s="876"/>
      <c r="K60" s="876"/>
      <c r="L60" s="876"/>
      <c r="M60" s="876"/>
      <c r="N60" s="876"/>
      <c r="O60" s="876"/>
      <c r="P60" s="876"/>
      <c r="Q60" s="876"/>
      <c r="R60" s="876"/>
      <c r="S60" s="876"/>
      <c r="T60" s="876"/>
      <c r="U60" s="877"/>
      <c r="V60" s="647"/>
      <c r="W60" s="647"/>
      <c r="Y60" s="3"/>
    </row>
    <row r="61" spans="1:27" ht="25.5" x14ac:dyDescent="0.25">
      <c r="A61" s="864">
        <v>8005</v>
      </c>
      <c r="B61" s="5" t="s">
        <v>73</v>
      </c>
      <c r="C61" s="862" t="s">
        <v>682</v>
      </c>
      <c r="D61" s="6">
        <v>1.3</v>
      </c>
      <c r="E61" s="6">
        <v>3.5</v>
      </c>
      <c r="F61" s="6">
        <v>1</v>
      </c>
      <c r="G61" s="6">
        <v>1.3</v>
      </c>
      <c r="H61" s="6">
        <v>1.2</v>
      </c>
      <c r="I61" s="34">
        <v>0.01</v>
      </c>
      <c r="J61" s="6">
        <v>0.01</v>
      </c>
      <c r="K61" s="6">
        <v>20</v>
      </c>
      <c r="L61" s="6">
        <v>1450</v>
      </c>
      <c r="M61" s="6">
        <v>2E-3</v>
      </c>
      <c r="N61" s="6">
        <v>1.5</v>
      </c>
      <c r="O61" s="6">
        <v>14</v>
      </c>
      <c r="P61" s="6">
        <v>4</v>
      </c>
      <c r="Q61" s="6">
        <f>ROUND((W61/V61),0)</f>
        <v>1522</v>
      </c>
      <c r="R61" s="1" t="s">
        <v>75</v>
      </c>
      <c r="S61" s="1">
        <v>2908</v>
      </c>
      <c r="T61" s="6">
        <f>ROUND((D61*E61*F61*K61*N61*L61*I61*J61/3600)+(G61*H61*I61*M61*O61*P61),4)</f>
        <v>7.1999999999999998E-3</v>
      </c>
      <c r="U61" s="6">
        <f>ROUND((((3.6*T61*Q61)/1000)),4)</f>
        <v>3.95E-2</v>
      </c>
      <c r="V61" s="647">
        <v>140</v>
      </c>
      <c r="W61" s="647">
        <f>532673*0.4</f>
        <v>213069.2</v>
      </c>
      <c r="Y61" s="2"/>
      <c r="Z61" s="325"/>
      <c r="AA61" s="77"/>
    </row>
    <row r="62" spans="1:27" ht="38.25" x14ac:dyDescent="0.25">
      <c r="A62" s="865"/>
      <c r="B62" s="5" t="s">
        <v>74</v>
      </c>
      <c r="C62" s="863"/>
      <c r="D62" s="6">
        <v>1.9</v>
      </c>
      <c r="E62" s="6">
        <v>3.5</v>
      </c>
      <c r="F62" s="6">
        <v>1</v>
      </c>
      <c r="G62" s="6">
        <v>1.3</v>
      </c>
      <c r="H62" s="6">
        <v>1.2</v>
      </c>
      <c r="I62" s="34">
        <v>0.01</v>
      </c>
      <c r="J62" s="6">
        <v>0.01</v>
      </c>
      <c r="K62" s="6">
        <v>16</v>
      </c>
      <c r="L62" s="6">
        <v>1450</v>
      </c>
      <c r="M62" s="6">
        <v>2E-3</v>
      </c>
      <c r="N62" s="6">
        <v>1.5</v>
      </c>
      <c r="O62" s="6">
        <v>14</v>
      </c>
      <c r="P62" s="6">
        <v>3</v>
      </c>
      <c r="Q62" s="6">
        <f>ROUND((W62/V62),0)</f>
        <v>1332</v>
      </c>
      <c r="R62" s="1" t="s">
        <v>75</v>
      </c>
      <c r="S62" s="1">
        <v>2908</v>
      </c>
      <c r="T62" s="6">
        <f>ROUND((D62*E62*F62*K62*N62*L62*I62*J62/3600)+(G62*H62*I62*M62*O62*P62),4)</f>
        <v>7.7000000000000002E-3</v>
      </c>
      <c r="U62" s="6">
        <f>ROUND((((3.6*T62*Q62)/1000)),4)</f>
        <v>3.6900000000000002E-2</v>
      </c>
      <c r="V62" s="647">
        <v>240</v>
      </c>
      <c r="W62" s="647">
        <f>532673*0.6</f>
        <v>319603.8</v>
      </c>
      <c r="Y62" s="2"/>
      <c r="Z62" s="325"/>
      <c r="AA62" s="77"/>
    </row>
    <row r="63" spans="1:27" ht="25.5" x14ac:dyDescent="0.25">
      <c r="A63" s="865"/>
      <c r="B63" s="5" t="s">
        <v>73</v>
      </c>
      <c r="C63" s="871" t="s">
        <v>279</v>
      </c>
      <c r="D63" s="6">
        <v>1.3</v>
      </c>
      <c r="E63" s="6">
        <v>3.5</v>
      </c>
      <c r="F63" s="6">
        <v>1</v>
      </c>
      <c r="G63" s="6">
        <v>1.3</v>
      </c>
      <c r="H63" s="6">
        <v>1.2</v>
      </c>
      <c r="I63" s="6">
        <v>0.01</v>
      </c>
      <c r="J63" s="6">
        <v>0.01</v>
      </c>
      <c r="K63" s="34">
        <v>6</v>
      </c>
      <c r="L63" s="6">
        <v>1450</v>
      </c>
      <c r="M63" s="6">
        <v>2E-3</v>
      </c>
      <c r="N63" s="6">
        <v>1.5</v>
      </c>
      <c r="O63" s="6">
        <v>14</v>
      </c>
      <c r="P63" s="6">
        <v>2</v>
      </c>
      <c r="Q63" s="6">
        <f>ROUND((W63/V63),0)</f>
        <v>174</v>
      </c>
      <c r="R63" s="1" t="s">
        <v>75</v>
      </c>
      <c r="S63" s="1">
        <v>2908</v>
      </c>
      <c r="T63" s="6">
        <f>ROUND((D63*E63*F63*K63*N63*L63*I63*J63/3600)+(G63*H63*I63*M63*O63*P63),4)</f>
        <v>2.5000000000000001E-3</v>
      </c>
      <c r="U63" s="6">
        <f>ROUND((((3.6*T63*Q63)/1000)),4)</f>
        <v>1.6000000000000001E-3</v>
      </c>
      <c r="V63" s="9">
        <v>45</v>
      </c>
      <c r="W63" s="9">
        <f>19625*0.4</f>
        <v>7850</v>
      </c>
      <c r="X63" s="9"/>
      <c r="Z63" s="3"/>
    </row>
    <row r="64" spans="1:27" ht="38.25" x14ac:dyDescent="0.25">
      <c r="A64" s="865"/>
      <c r="B64" s="5" t="s">
        <v>74</v>
      </c>
      <c r="C64" s="872"/>
      <c r="D64" s="6">
        <v>1.9</v>
      </c>
      <c r="E64" s="6">
        <v>3.5</v>
      </c>
      <c r="F64" s="6">
        <v>1</v>
      </c>
      <c r="G64" s="6">
        <v>1.3</v>
      </c>
      <c r="H64" s="6">
        <v>1.2</v>
      </c>
      <c r="I64" s="6">
        <v>0.01</v>
      </c>
      <c r="J64" s="6">
        <v>0.01</v>
      </c>
      <c r="K64" s="34">
        <v>8</v>
      </c>
      <c r="L64" s="6">
        <v>1450</v>
      </c>
      <c r="M64" s="6">
        <v>2E-3</v>
      </c>
      <c r="N64" s="6">
        <v>1.5</v>
      </c>
      <c r="O64" s="6">
        <v>14</v>
      </c>
      <c r="P64" s="6">
        <v>1</v>
      </c>
      <c r="Q64" s="6">
        <f>ROUND((W64/V64),0)</f>
        <v>236</v>
      </c>
      <c r="R64" s="1" t="s">
        <v>75</v>
      </c>
      <c r="S64" s="1">
        <v>2908</v>
      </c>
      <c r="T64" s="6">
        <f>ROUND((D64*E64*F64*K64*N64*L64*I64*J64/3600)+(G64*H64*I64*M64*O64*P64),4)</f>
        <v>3.7000000000000002E-3</v>
      </c>
      <c r="U64" s="6">
        <f>ROUND((((3.6*T64*Q64)/1000)),4)</f>
        <v>3.0999999999999999E-3</v>
      </c>
      <c r="V64" s="9">
        <v>50</v>
      </c>
      <c r="W64" s="9">
        <f>19625*0.6</f>
        <v>11775</v>
      </c>
      <c r="X64" s="9"/>
      <c r="Z64" s="3"/>
    </row>
    <row r="65" spans="1:26" ht="25.5" x14ac:dyDescent="0.25">
      <c r="A65" s="866"/>
      <c r="B65" s="35" t="s">
        <v>73</v>
      </c>
      <c r="C65" s="862" t="s">
        <v>280</v>
      </c>
      <c r="D65" s="34">
        <v>1.3</v>
      </c>
      <c r="E65" s="34">
        <v>3.5</v>
      </c>
      <c r="F65" s="34">
        <v>1</v>
      </c>
      <c r="G65" s="34">
        <v>1.3</v>
      </c>
      <c r="H65" s="34">
        <v>1.2</v>
      </c>
      <c r="I65" s="34">
        <v>0.01</v>
      </c>
      <c r="J65" s="34">
        <v>0.01</v>
      </c>
      <c r="K65" s="34">
        <v>20</v>
      </c>
      <c r="L65" s="34">
        <v>1450</v>
      </c>
      <c r="M65" s="34">
        <v>4.0000000000000001E-3</v>
      </c>
      <c r="N65" s="34">
        <v>1.5</v>
      </c>
      <c r="O65" s="34">
        <v>14</v>
      </c>
      <c r="P65" s="34">
        <v>2</v>
      </c>
      <c r="Q65" s="34">
        <f t="shared" ref="Q65:Q66" si="12">ROUND((W65/V65),0)</f>
        <v>310</v>
      </c>
      <c r="R65" s="28" t="s">
        <v>75</v>
      </c>
      <c r="S65" s="28">
        <v>2908</v>
      </c>
      <c r="T65" s="34">
        <f t="shared" ref="T65:T66" si="13">ROUND((D65*E65*F65*K65*N65*L65*I65*J65/3600)+(G65*H65*I65*M65*O65*P65),4)</f>
        <v>7.1999999999999998E-3</v>
      </c>
      <c r="U65" s="34">
        <f t="shared" ref="U65:U66" si="14">ROUND((((3.6*T65*Q65)/1000)),4)</f>
        <v>8.0000000000000002E-3</v>
      </c>
      <c r="V65" s="9">
        <v>150</v>
      </c>
      <c r="W65" s="9">
        <f>(116215)*0.4</f>
        <v>46486</v>
      </c>
      <c r="X65" s="9"/>
      <c r="Z65" s="3"/>
    </row>
    <row r="66" spans="1:26" ht="38.25" x14ac:dyDescent="0.25">
      <c r="A66" s="829"/>
      <c r="B66" s="35" t="s">
        <v>74</v>
      </c>
      <c r="C66" s="863"/>
      <c r="D66" s="34">
        <v>1.9</v>
      </c>
      <c r="E66" s="34">
        <v>3.5</v>
      </c>
      <c r="F66" s="34">
        <v>1</v>
      </c>
      <c r="G66" s="34">
        <v>1.3</v>
      </c>
      <c r="H66" s="34">
        <v>1.2</v>
      </c>
      <c r="I66" s="34">
        <v>0.01</v>
      </c>
      <c r="J66" s="34">
        <v>0.01</v>
      </c>
      <c r="K66" s="34">
        <v>14</v>
      </c>
      <c r="L66" s="34">
        <v>1450</v>
      </c>
      <c r="M66" s="34">
        <v>4.0000000000000001E-3</v>
      </c>
      <c r="N66" s="34">
        <v>1.5</v>
      </c>
      <c r="O66" s="34">
        <v>14</v>
      </c>
      <c r="P66" s="34">
        <v>1</v>
      </c>
      <c r="Q66" s="34">
        <f t="shared" si="12"/>
        <v>349</v>
      </c>
      <c r="R66" s="28" t="s">
        <v>75</v>
      </c>
      <c r="S66" s="28">
        <v>2908</v>
      </c>
      <c r="T66" s="34">
        <f t="shared" si="13"/>
        <v>6.4999999999999997E-3</v>
      </c>
      <c r="U66" s="34">
        <f t="shared" si="14"/>
        <v>8.2000000000000007E-3</v>
      </c>
      <c r="V66" s="9">
        <v>200</v>
      </c>
      <c r="W66" s="9">
        <f>(116215)*0.6</f>
        <v>69729</v>
      </c>
      <c r="X66" s="9"/>
      <c r="Z66" s="3"/>
    </row>
    <row r="67" spans="1:26" ht="25.5" x14ac:dyDescent="0.25">
      <c r="A67" s="878" t="s">
        <v>489</v>
      </c>
      <c r="B67" s="879"/>
      <c r="C67" s="879"/>
      <c r="D67" s="879"/>
      <c r="E67" s="879"/>
      <c r="F67" s="879"/>
      <c r="G67" s="879"/>
      <c r="H67" s="879"/>
      <c r="I67" s="879"/>
      <c r="J67" s="879"/>
      <c r="K67" s="879"/>
      <c r="L67" s="879"/>
      <c r="M67" s="879"/>
      <c r="N67" s="879"/>
      <c r="O67" s="879"/>
      <c r="P67" s="879"/>
      <c r="Q67" s="880"/>
      <c r="R67" s="7" t="s">
        <v>75</v>
      </c>
      <c r="S67" s="7">
        <v>2908</v>
      </c>
      <c r="T67" s="8">
        <f>T61+T62+T63+T64+T65+T66</f>
        <v>3.4799999999999998E-2</v>
      </c>
      <c r="U67" s="8">
        <f>U61+U62+U63+U64+U65+U66</f>
        <v>9.7300000000000011E-2</v>
      </c>
      <c r="V67" s="697">
        <f>T67</f>
        <v>3.4799999999999998E-2</v>
      </c>
      <c r="W67" s="698">
        <f>U67</f>
        <v>9.7300000000000011E-2</v>
      </c>
      <c r="X67" s="705">
        <v>2027</v>
      </c>
      <c r="Y67" s="3"/>
    </row>
    <row r="68" spans="1:26" x14ac:dyDescent="0.25">
      <c r="A68" s="767" t="s">
        <v>98</v>
      </c>
      <c r="B68" s="768"/>
      <c r="C68" s="768"/>
      <c r="D68" s="768"/>
      <c r="E68" s="768"/>
      <c r="F68" s="768"/>
      <c r="G68" s="768"/>
      <c r="H68" s="768"/>
      <c r="I68" s="768"/>
      <c r="J68" s="768"/>
      <c r="K68" s="768"/>
      <c r="L68" s="768"/>
      <c r="M68" s="768"/>
      <c r="N68" s="768"/>
      <c r="O68" s="768"/>
      <c r="P68" s="768"/>
      <c r="Q68" s="768"/>
      <c r="R68" s="768"/>
      <c r="S68" s="768"/>
      <c r="T68" s="768"/>
      <c r="U68" s="769"/>
      <c r="V68" s="358"/>
      <c r="W68" s="358"/>
    </row>
    <row r="69" spans="1:26" x14ac:dyDescent="0.25">
      <c r="A69" s="767" t="s">
        <v>94</v>
      </c>
      <c r="B69" s="868"/>
      <c r="C69" s="868"/>
      <c r="D69" s="868"/>
      <c r="E69" s="868"/>
      <c r="F69" s="868"/>
      <c r="G69" s="868"/>
      <c r="H69" s="868"/>
      <c r="I69" s="868"/>
      <c r="J69" s="868"/>
      <c r="K69" s="868"/>
      <c r="L69" s="868"/>
      <c r="M69" s="868"/>
      <c r="N69" s="868"/>
      <c r="O69" s="868"/>
      <c r="P69" s="868"/>
      <c r="Q69" s="868"/>
      <c r="R69" s="868"/>
      <c r="S69" s="868"/>
      <c r="T69" s="868"/>
      <c r="U69" s="869"/>
      <c r="V69" s="647"/>
      <c r="W69" s="647"/>
      <c r="Y69" s="3"/>
    </row>
    <row r="70" spans="1:26" ht="25.5" x14ac:dyDescent="0.25">
      <c r="A70" s="867">
        <v>8005</v>
      </c>
      <c r="B70" s="35" t="s">
        <v>73</v>
      </c>
      <c r="C70" s="862" t="s">
        <v>682</v>
      </c>
      <c r="D70" s="34">
        <v>1.3</v>
      </c>
      <c r="E70" s="34">
        <v>3.5</v>
      </c>
      <c r="F70" s="34">
        <v>1</v>
      </c>
      <c r="G70" s="34">
        <v>1.3</v>
      </c>
      <c r="H70" s="34">
        <v>1.2</v>
      </c>
      <c r="I70" s="34">
        <v>0.01</v>
      </c>
      <c r="J70" s="34">
        <v>0.01</v>
      </c>
      <c r="K70" s="34">
        <v>14</v>
      </c>
      <c r="L70" s="34">
        <v>1450</v>
      </c>
      <c r="M70" s="34">
        <v>2E-3</v>
      </c>
      <c r="N70" s="34">
        <v>1.5</v>
      </c>
      <c r="O70" s="34">
        <v>14</v>
      </c>
      <c r="P70" s="34">
        <v>4</v>
      </c>
      <c r="Q70" s="34">
        <f>ROUND((W70/V70),0)</f>
        <v>913</v>
      </c>
      <c r="R70" s="28" t="s">
        <v>75</v>
      </c>
      <c r="S70" s="28">
        <v>2908</v>
      </c>
      <c r="T70" s="34">
        <f>ROUND((D70*E70*F70*K70*N70*L70*I70*J70/3600)+(G70*H70*I70*M70*O70*P70),4)</f>
        <v>5.5999999999999999E-3</v>
      </c>
      <c r="U70" s="34">
        <f>ROUND((((3.6*T70*Q70)/1000)),4)</f>
        <v>1.84E-2</v>
      </c>
      <c r="V70" s="9">
        <v>100</v>
      </c>
      <c r="W70" s="9">
        <f>228234*0.4</f>
        <v>91293.6</v>
      </c>
      <c r="Y70" s="2"/>
      <c r="Z70" s="77"/>
    </row>
    <row r="71" spans="1:26" ht="38.25" x14ac:dyDescent="0.25">
      <c r="A71" s="847"/>
      <c r="B71" s="35" t="s">
        <v>74</v>
      </c>
      <c r="C71" s="863"/>
      <c r="D71" s="34">
        <v>1.9</v>
      </c>
      <c r="E71" s="34">
        <v>3.5</v>
      </c>
      <c r="F71" s="34">
        <v>1</v>
      </c>
      <c r="G71" s="34">
        <v>1.3</v>
      </c>
      <c r="H71" s="34">
        <v>1.2</v>
      </c>
      <c r="I71" s="34">
        <v>0.01</v>
      </c>
      <c r="J71" s="34">
        <v>0.01</v>
      </c>
      <c r="K71" s="34">
        <v>14</v>
      </c>
      <c r="L71" s="34">
        <v>1450</v>
      </c>
      <c r="M71" s="34">
        <v>2E-3</v>
      </c>
      <c r="N71" s="34">
        <v>1.5</v>
      </c>
      <c r="O71" s="34">
        <v>14</v>
      </c>
      <c r="P71" s="34">
        <v>2</v>
      </c>
      <c r="Q71" s="34">
        <f>ROUND((W71/V71),0)</f>
        <v>685</v>
      </c>
      <c r="R71" s="28" t="s">
        <v>75</v>
      </c>
      <c r="S71" s="28">
        <v>2908</v>
      </c>
      <c r="T71" s="34">
        <f>ROUND((D71*E71*F71*K71*N71*L71*I71*J71/3600)+(G71*H71*I71*M71*O71*P71),4)</f>
        <v>6.4999999999999997E-3</v>
      </c>
      <c r="U71" s="34">
        <f>ROUND((((3.6*T71*Q71)/1000)),4)</f>
        <v>1.6E-2</v>
      </c>
      <c r="V71" s="9">
        <v>200</v>
      </c>
      <c r="W71" s="9">
        <f>228234*0.6</f>
        <v>136940.4</v>
      </c>
      <c r="Y71" s="2"/>
      <c r="Z71" s="77"/>
    </row>
    <row r="72" spans="1:26" ht="25.5" x14ac:dyDescent="0.25">
      <c r="A72" s="847"/>
      <c r="B72" s="35" t="s">
        <v>73</v>
      </c>
      <c r="C72" s="862" t="s">
        <v>279</v>
      </c>
      <c r="D72" s="34">
        <v>1.3</v>
      </c>
      <c r="E72" s="34">
        <v>3.5</v>
      </c>
      <c r="F72" s="34">
        <v>1</v>
      </c>
      <c r="G72" s="34">
        <v>1.3</v>
      </c>
      <c r="H72" s="34">
        <v>1.2</v>
      </c>
      <c r="I72" s="34">
        <v>0.01</v>
      </c>
      <c r="J72" s="34">
        <v>0.01</v>
      </c>
      <c r="K72" s="34">
        <v>8</v>
      </c>
      <c r="L72" s="34">
        <v>1450</v>
      </c>
      <c r="M72" s="34">
        <v>2E-3</v>
      </c>
      <c r="N72" s="34">
        <v>1.5</v>
      </c>
      <c r="O72" s="34">
        <v>14</v>
      </c>
      <c r="P72" s="34">
        <v>2</v>
      </c>
      <c r="Q72" s="34">
        <f>ROUND((W72/V72),0)</f>
        <v>180</v>
      </c>
      <c r="R72" s="28" t="s">
        <v>75</v>
      </c>
      <c r="S72" s="28">
        <v>2908</v>
      </c>
      <c r="T72" s="34">
        <f>ROUND((D72*E72*F72*K72*N72*L72*I72*J72/3600)+(G72*H72*I72*M72*O72*P72),4)</f>
        <v>3.0999999999999999E-3</v>
      </c>
      <c r="U72" s="34">
        <f>ROUND((((3.6*T72*Q72)/1000)),4)</f>
        <v>2E-3</v>
      </c>
      <c r="V72" s="9">
        <v>50</v>
      </c>
      <c r="W72" s="9">
        <f>22457*0.4</f>
        <v>8982.8000000000011</v>
      </c>
      <c r="X72" s="9"/>
    </row>
    <row r="73" spans="1:26" ht="38.25" x14ac:dyDescent="0.25">
      <c r="A73" s="847"/>
      <c r="B73" s="35" t="s">
        <v>74</v>
      </c>
      <c r="C73" s="863"/>
      <c r="D73" s="34">
        <v>1.9</v>
      </c>
      <c r="E73" s="34">
        <v>3.5</v>
      </c>
      <c r="F73" s="34">
        <v>1</v>
      </c>
      <c r="G73" s="34">
        <v>1.3</v>
      </c>
      <c r="H73" s="34">
        <v>1.2</v>
      </c>
      <c r="I73" s="34">
        <v>0.01</v>
      </c>
      <c r="J73" s="34">
        <v>0.01</v>
      </c>
      <c r="K73" s="34">
        <v>8</v>
      </c>
      <c r="L73" s="34">
        <v>1450</v>
      </c>
      <c r="M73" s="34">
        <v>2E-3</v>
      </c>
      <c r="N73" s="34">
        <v>1.5</v>
      </c>
      <c r="O73" s="34">
        <v>14</v>
      </c>
      <c r="P73" s="34">
        <v>2</v>
      </c>
      <c r="Q73" s="34">
        <f>ROUND((W73/V73),0)</f>
        <v>135</v>
      </c>
      <c r="R73" s="28" t="s">
        <v>75</v>
      </c>
      <c r="S73" s="28">
        <v>2908</v>
      </c>
      <c r="T73" s="34">
        <f>ROUND((D73*E73*F73*K73*N73*L73*I73*J73/3600)+(G73*H73*I73*M73*O73*P73),4)</f>
        <v>4.1000000000000003E-3</v>
      </c>
      <c r="U73" s="34">
        <f>ROUND((((3.6*T73*Q73)/1000)),4)</f>
        <v>2E-3</v>
      </c>
      <c r="V73" s="9">
        <v>100</v>
      </c>
      <c r="W73" s="9">
        <f>22457*0.6</f>
        <v>13474.199999999999</v>
      </c>
      <c r="X73" s="9"/>
    </row>
    <row r="74" spans="1:26" ht="25.5" x14ac:dyDescent="0.25">
      <c r="A74" s="873" t="s">
        <v>489</v>
      </c>
      <c r="B74" s="874"/>
      <c r="C74" s="874"/>
      <c r="D74" s="874"/>
      <c r="E74" s="874"/>
      <c r="F74" s="874"/>
      <c r="G74" s="874"/>
      <c r="H74" s="874"/>
      <c r="I74" s="874"/>
      <c r="J74" s="874"/>
      <c r="K74" s="874"/>
      <c r="L74" s="874"/>
      <c r="M74" s="874"/>
      <c r="N74" s="874"/>
      <c r="O74" s="874"/>
      <c r="P74" s="874"/>
      <c r="Q74" s="875"/>
      <c r="R74" s="29" t="s">
        <v>75</v>
      </c>
      <c r="S74" s="29">
        <v>2908</v>
      </c>
      <c r="T74" s="36">
        <f>T70+T71+T72+T73</f>
        <v>1.9300000000000001E-2</v>
      </c>
      <c r="U74" s="36">
        <f>U70+U71+U72+U73</f>
        <v>3.8400000000000004E-2</v>
      </c>
      <c r="V74" s="623"/>
      <c r="W74" s="623"/>
      <c r="Y74" s="3"/>
    </row>
    <row r="75" spans="1:26" x14ac:dyDescent="0.25">
      <c r="A75" s="781" t="s">
        <v>129</v>
      </c>
      <c r="B75" s="876"/>
      <c r="C75" s="876"/>
      <c r="D75" s="876"/>
      <c r="E75" s="876"/>
      <c r="F75" s="876"/>
      <c r="G75" s="876"/>
      <c r="H75" s="876"/>
      <c r="I75" s="876"/>
      <c r="J75" s="876"/>
      <c r="K75" s="876"/>
      <c r="L75" s="876"/>
      <c r="M75" s="876"/>
      <c r="N75" s="876"/>
      <c r="O75" s="876"/>
      <c r="P75" s="876"/>
      <c r="Q75" s="876"/>
      <c r="R75" s="876"/>
      <c r="S75" s="876"/>
      <c r="T75" s="876"/>
      <c r="U75" s="877"/>
      <c r="V75" s="358"/>
      <c r="W75" s="358"/>
      <c r="Y75" s="3"/>
    </row>
    <row r="76" spans="1:26" ht="25.5" x14ac:dyDescent="0.25">
      <c r="A76" s="439">
        <v>8017</v>
      </c>
      <c r="B76" s="5" t="s">
        <v>73</v>
      </c>
      <c r="C76" s="1" t="s">
        <v>279</v>
      </c>
      <c r="D76" s="6">
        <v>1.3</v>
      </c>
      <c r="E76" s="6">
        <v>3.5</v>
      </c>
      <c r="F76" s="6">
        <v>1</v>
      </c>
      <c r="G76" s="6">
        <v>1.3</v>
      </c>
      <c r="H76" s="6">
        <v>1.2</v>
      </c>
      <c r="I76" s="6">
        <v>0.01</v>
      </c>
      <c r="J76" s="6">
        <v>0.01</v>
      </c>
      <c r="K76" s="6">
        <v>1</v>
      </c>
      <c r="L76" s="6">
        <v>1450</v>
      </c>
      <c r="M76" s="6">
        <v>2E-3</v>
      </c>
      <c r="N76" s="6">
        <v>1.5</v>
      </c>
      <c r="O76" s="6">
        <v>14</v>
      </c>
      <c r="P76" s="6">
        <v>1</v>
      </c>
      <c r="Q76" s="6">
        <f>ROUND((W76/V76),0)</f>
        <v>4</v>
      </c>
      <c r="R76" s="1" t="s">
        <v>75</v>
      </c>
      <c r="S76" s="1">
        <v>2908</v>
      </c>
      <c r="T76" s="6">
        <f>ROUND((D76*E76*F76*K76*N76*L76*I76*J76/3600)+(G76*H76*I76*M76*O76*P76),4)</f>
        <v>6.9999999999999999E-4</v>
      </c>
      <c r="U76" s="6">
        <f>ROUND((((3.6*T76*Q76)/1000)),6)</f>
        <v>1.0000000000000001E-5</v>
      </c>
      <c r="V76" s="647">
        <v>2</v>
      </c>
      <c r="W76" s="647">
        <f>7*1</f>
        <v>7</v>
      </c>
      <c r="Y76" s="2"/>
      <c r="Z76" s="3"/>
    </row>
    <row r="77" spans="1:26" x14ac:dyDescent="0.25">
      <c r="A77" s="781" t="s">
        <v>132</v>
      </c>
      <c r="B77" s="876"/>
      <c r="C77" s="876"/>
      <c r="D77" s="876"/>
      <c r="E77" s="876"/>
      <c r="F77" s="876"/>
      <c r="G77" s="876"/>
      <c r="H77" s="876"/>
      <c r="I77" s="876"/>
      <c r="J77" s="876"/>
      <c r="K77" s="876"/>
      <c r="L77" s="876"/>
      <c r="M77" s="876"/>
      <c r="N77" s="876"/>
      <c r="O77" s="876"/>
      <c r="P77" s="876"/>
      <c r="Q77" s="876"/>
      <c r="R77" s="876"/>
      <c r="S77" s="876"/>
      <c r="T77" s="876"/>
      <c r="U77" s="877"/>
      <c r="V77" s="647"/>
      <c r="W77" s="647"/>
      <c r="Y77" s="2"/>
      <c r="Z77" s="3"/>
    </row>
    <row r="78" spans="1:26" ht="38.25" x14ac:dyDescent="0.25">
      <c r="A78" s="527">
        <v>8019</v>
      </c>
      <c r="B78" s="5" t="s">
        <v>74</v>
      </c>
      <c r="C78" s="1" t="s">
        <v>279</v>
      </c>
      <c r="D78" s="6">
        <v>1.9</v>
      </c>
      <c r="E78" s="6">
        <v>3.5</v>
      </c>
      <c r="F78" s="6">
        <v>1</v>
      </c>
      <c r="G78" s="6">
        <v>1.3</v>
      </c>
      <c r="H78" s="6">
        <v>1.2</v>
      </c>
      <c r="I78" s="6">
        <v>0.01</v>
      </c>
      <c r="J78" s="6">
        <v>0.01</v>
      </c>
      <c r="K78" s="6">
        <v>1</v>
      </c>
      <c r="L78" s="6">
        <v>1450</v>
      </c>
      <c r="M78" s="6">
        <v>2E-3</v>
      </c>
      <c r="N78" s="6">
        <v>1.5</v>
      </c>
      <c r="O78" s="6">
        <v>14</v>
      </c>
      <c r="P78" s="6">
        <v>1</v>
      </c>
      <c r="Q78" s="6">
        <f>ROUND((W78/V78),0)</f>
        <v>2</v>
      </c>
      <c r="R78" s="1" t="s">
        <v>75</v>
      </c>
      <c r="S78" s="1">
        <v>2908</v>
      </c>
      <c r="T78" s="6">
        <f>ROUND((D78*E78*F78*K78*N78*L78*I78*J78/3600)+(G78*H78*I78*M78*O78*P78),4)</f>
        <v>8.0000000000000004E-4</v>
      </c>
      <c r="U78" s="6">
        <f>ROUND((((3.6*T78*Q78)/1000)),5)</f>
        <v>1.0000000000000001E-5</v>
      </c>
      <c r="V78" s="647">
        <v>2</v>
      </c>
      <c r="W78" s="647">
        <f>4*1</f>
        <v>4</v>
      </c>
      <c r="Y78" s="2"/>
      <c r="Z78" s="3"/>
    </row>
    <row r="79" spans="1:26" x14ac:dyDescent="0.25">
      <c r="A79" s="767" t="s">
        <v>539</v>
      </c>
      <c r="B79" s="868"/>
      <c r="C79" s="868"/>
      <c r="D79" s="868"/>
      <c r="E79" s="868"/>
      <c r="F79" s="868"/>
      <c r="G79" s="868"/>
      <c r="H79" s="868"/>
      <c r="I79" s="868"/>
      <c r="J79" s="868"/>
      <c r="K79" s="868"/>
      <c r="L79" s="868"/>
      <c r="M79" s="868"/>
      <c r="N79" s="868"/>
      <c r="O79" s="868"/>
      <c r="P79" s="868"/>
      <c r="Q79" s="868"/>
      <c r="R79" s="868"/>
      <c r="S79" s="868"/>
      <c r="T79" s="868"/>
      <c r="U79" s="869"/>
      <c r="V79" s="648"/>
      <c r="W79" s="648"/>
      <c r="Y79" s="325"/>
      <c r="Z79" s="3"/>
    </row>
    <row r="80" spans="1:26" ht="38.25" x14ac:dyDescent="0.25">
      <c r="A80" s="528">
        <v>8023</v>
      </c>
      <c r="B80" s="35" t="s">
        <v>74</v>
      </c>
      <c r="C80" s="28" t="s">
        <v>279</v>
      </c>
      <c r="D80" s="34">
        <v>1.9</v>
      </c>
      <c r="E80" s="34">
        <v>3.5</v>
      </c>
      <c r="F80" s="34">
        <v>1</v>
      </c>
      <c r="G80" s="34">
        <v>1.3</v>
      </c>
      <c r="H80" s="34">
        <v>1.2</v>
      </c>
      <c r="I80" s="34">
        <v>0.01</v>
      </c>
      <c r="J80" s="34">
        <v>0.01</v>
      </c>
      <c r="K80" s="34">
        <v>1</v>
      </c>
      <c r="L80" s="34">
        <v>1450</v>
      </c>
      <c r="M80" s="34">
        <v>2E-3</v>
      </c>
      <c r="N80" s="34">
        <v>1.5</v>
      </c>
      <c r="O80" s="34">
        <v>14</v>
      </c>
      <c r="P80" s="34">
        <v>1</v>
      </c>
      <c r="Q80" s="34">
        <f>ROUND((W80/V80),0)</f>
        <v>112</v>
      </c>
      <c r="R80" s="28" t="s">
        <v>75</v>
      </c>
      <c r="S80" s="28">
        <v>2908</v>
      </c>
      <c r="T80" s="34">
        <f>ROUND((D80*E80*F80*K80*N80*L80*I80*J80/3600)+(G80*H80*I80*M80*O80*P80),4)</f>
        <v>8.0000000000000004E-4</v>
      </c>
      <c r="U80" s="34">
        <f>ROUND((((3.6*T80*Q80)/1000)),5)</f>
        <v>3.2000000000000003E-4</v>
      </c>
      <c r="V80" s="9">
        <v>10</v>
      </c>
      <c r="W80" s="9">
        <v>1123</v>
      </c>
      <c r="Z80" s="3"/>
    </row>
    <row r="81" spans="1:26" x14ac:dyDescent="0.25">
      <c r="A81" s="767" t="s">
        <v>543</v>
      </c>
      <c r="B81" s="868"/>
      <c r="C81" s="868"/>
      <c r="D81" s="868"/>
      <c r="E81" s="868"/>
      <c r="F81" s="868"/>
      <c r="G81" s="868"/>
      <c r="H81" s="868"/>
      <c r="I81" s="868"/>
      <c r="J81" s="868"/>
      <c r="K81" s="868"/>
      <c r="L81" s="868"/>
      <c r="M81" s="868"/>
      <c r="N81" s="868"/>
      <c r="O81" s="868"/>
      <c r="P81" s="868"/>
      <c r="Q81" s="868"/>
      <c r="R81" s="868"/>
      <c r="S81" s="868"/>
      <c r="T81" s="868"/>
      <c r="U81" s="869"/>
      <c r="V81" s="648"/>
      <c r="W81" s="648"/>
      <c r="Y81" s="325"/>
      <c r="Z81" s="3"/>
    </row>
    <row r="82" spans="1:26" ht="38.25" x14ac:dyDescent="0.25">
      <c r="A82" s="528">
        <v>8025</v>
      </c>
      <c r="B82" s="35" t="s">
        <v>74</v>
      </c>
      <c r="C82" s="28" t="s">
        <v>279</v>
      </c>
      <c r="D82" s="34">
        <v>1.9</v>
      </c>
      <c r="E82" s="34">
        <v>3.5</v>
      </c>
      <c r="F82" s="34">
        <v>1</v>
      </c>
      <c r="G82" s="34">
        <v>1.3</v>
      </c>
      <c r="H82" s="34">
        <v>1.2</v>
      </c>
      <c r="I82" s="34">
        <v>0.01</v>
      </c>
      <c r="J82" s="34">
        <v>0.01</v>
      </c>
      <c r="K82" s="34">
        <v>1</v>
      </c>
      <c r="L82" s="34">
        <v>1450</v>
      </c>
      <c r="M82" s="34">
        <v>2E-3</v>
      </c>
      <c r="N82" s="34">
        <v>1.5</v>
      </c>
      <c r="O82" s="34">
        <v>14</v>
      </c>
      <c r="P82" s="34">
        <v>1</v>
      </c>
      <c r="Q82" s="34">
        <f>ROUND((W82/V82),0)</f>
        <v>60</v>
      </c>
      <c r="R82" s="28" t="s">
        <v>75</v>
      </c>
      <c r="S82" s="28">
        <v>2908</v>
      </c>
      <c r="T82" s="34">
        <f>ROUND((D82*E82*F82*K82*N82*L82*I82*J82/3600)+(G82*H82*I82*M82*O82*P82),4)</f>
        <v>8.0000000000000004E-4</v>
      </c>
      <c r="U82" s="34">
        <f>ROUND((((3.6*T82*Q82)/1000)),5)</f>
        <v>1.7000000000000001E-4</v>
      </c>
      <c r="V82" s="647">
        <v>10</v>
      </c>
      <c r="W82" s="647">
        <v>602</v>
      </c>
      <c r="Y82" s="2"/>
      <c r="Z82" s="3"/>
    </row>
    <row r="83" spans="1:26" x14ac:dyDescent="0.25">
      <c r="A83" s="781" t="s">
        <v>103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N83" s="782"/>
      <c r="O83" s="782"/>
      <c r="P83" s="782"/>
      <c r="Q83" s="782"/>
      <c r="R83" s="782"/>
      <c r="S83" s="782"/>
      <c r="T83" s="782"/>
      <c r="U83" s="783"/>
      <c r="V83" s="706">
        <f>T74+T76+T78+T80+T82</f>
        <v>2.2399999999999996E-2</v>
      </c>
      <c r="W83" s="707">
        <f>U74+U76+U78+U80+U82</f>
        <v>3.8910000000000014E-2</v>
      </c>
      <c r="X83" s="705">
        <v>2028</v>
      </c>
    </row>
    <row r="84" spans="1:26" x14ac:dyDescent="0.25">
      <c r="A84" s="781" t="s">
        <v>104</v>
      </c>
      <c r="B84" s="876"/>
      <c r="C84" s="876"/>
      <c r="D84" s="876"/>
      <c r="E84" s="876"/>
      <c r="F84" s="876"/>
      <c r="G84" s="876"/>
      <c r="H84" s="876"/>
      <c r="I84" s="876"/>
      <c r="J84" s="876"/>
      <c r="K84" s="876"/>
      <c r="L84" s="876"/>
      <c r="M84" s="876"/>
      <c r="N84" s="876"/>
      <c r="O84" s="876"/>
      <c r="P84" s="876"/>
      <c r="Q84" s="876"/>
      <c r="R84" s="876"/>
      <c r="S84" s="876"/>
      <c r="T84" s="876"/>
      <c r="U84" s="877"/>
    </row>
    <row r="85" spans="1:26" ht="25.5" x14ac:dyDescent="0.25">
      <c r="A85" s="867">
        <v>8005</v>
      </c>
      <c r="B85" s="35" t="s">
        <v>73</v>
      </c>
      <c r="C85" s="862" t="s">
        <v>276</v>
      </c>
      <c r="D85" s="34">
        <v>1.3</v>
      </c>
      <c r="E85" s="34">
        <v>3.5</v>
      </c>
      <c r="F85" s="34">
        <v>1</v>
      </c>
      <c r="G85" s="34">
        <v>1.3</v>
      </c>
      <c r="H85" s="34">
        <v>1.2</v>
      </c>
      <c r="I85" s="34">
        <v>0.01</v>
      </c>
      <c r="J85" s="34">
        <v>0.01</v>
      </c>
      <c r="K85" s="34">
        <v>3</v>
      </c>
      <c r="L85" s="34">
        <v>1450</v>
      </c>
      <c r="M85" s="34">
        <v>2E-3</v>
      </c>
      <c r="N85" s="34">
        <v>1.5</v>
      </c>
      <c r="O85" s="34">
        <v>14</v>
      </c>
      <c r="P85" s="34">
        <v>1</v>
      </c>
      <c r="Q85" s="34">
        <f>ROUND((W85/V85),0)</f>
        <v>634</v>
      </c>
      <c r="R85" s="28" t="s">
        <v>75</v>
      </c>
      <c r="S85" s="28">
        <v>2908</v>
      </c>
      <c r="T85" s="34">
        <f>ROUND((D85*E85*F85*K85*N85*L85*I85*J85/3600)+(G85*H85*I85*M85*O85*P85),4)</f>
        <v>1.2999999999999999E-3</v>
      </c>
      <c r="U85" s="34">
        <f>ROUND((((3.6*T85*Q85)/1000)),4)</f>
        <v>3.0000000000000001E-3</v>
      </c>
      <c r="V85" s="647">
        <v>20</v>
      </c>
      <c r="W85" s="647">
        <f>31695*0.4</f>
        <v>12678</v>
      </c>
      <c r="Y85" s="2"/>
      <c r="Z85" s="77"/>
    </row>
    <row r="86" spans="1:26" ht="38.25" x14ac:dyDescent="0.25">
      <c r="A86" s="847"/>
      <c r="B86" s="35" t="s">
        <v>74</v>
      </c>
      <c r="C86" s="863"/>
      <c r="D86" s="34">
        <v>1.9</v>
      </c>
      <c r="E86" s="34">
        <v>3.5</v>
      </c>
      <c r="F86" s="34">
        <v>1</v>
      </c>
      <c r="G86" s="34">
        <v>1.3</v>
      </c>
      <c r="H86" s="34">
        <v>1.2</v>
      </c>
      <c r="I86" s="34">
        <v>0.01</v>
      </c>
      <c r="J86" s="34">
        <v>0.01</v>
      </c>
      <c r="K86" s="34">
        <v>2</v>
      </c>
      <c r="L86" s="34">
        <v>1450</v>
      </c>
      <c r="M86" s="34">
        <v>2E-3</v>
      </c>
      <c r="N86" s="34">
        <v>1.5</v>
      </c>
      <c r="O86" s="34">
        <v>14</v>
      </c>
      <c r="P86" s="34">
        <v>1</v>
      </c>
      <c r="Q86" s="34">
        <f>ROUND((W86/V86),0)</f>
        <v>951</v>
      </c>
      <c r="R86" s="28" t="s">
        <v>75</v>
      </c>
      <c r="S86" s="28">
        <v>2908</v>
      </c>
      <c r="T86" s="34">
        <f>ROUND((D86*E86*F86*K86*N86*L86*I86*J86/3600)+(G86*H86*I86*M86*O86*P86),4)</f>
        <v>1.1999999999999999E-3</v>
      </c>
      <c r="U86" s="34">
        <f>ROUND((((3.6*T86*Q86)/1000)),4)</f>
        <v>4.1000000000000003E-3</v>
      </c>
      <c r="V86" s="647">
        <v>20</v>
      </c>
      <c r="W86" s="647">
        <f>31695*0.6</f>
        <v>19017</v>
      </c>
      <c r="Y86" s="2"/>
      <c r="Z86" s="77"/>
    </row>
    <row r="87" spans="1:26" ht="25.5" x14ac:dyDescent="0.25">
      <c r="A87" s="847"/>
      <c r="B87" s="35" t="s">
        <v>73</v>
      </c>
      <c r="C87" s="862" t="s">
        <v>682</v>
      </c>
      <c r="D87" s="34">
        <v>1.3</v>
      </c>
      <c r="E87" s="34">
        <v>3.5</v>
      </c>
      <c r="F87" s="34">
        <v>1</v>
      </c>
      <c r="G87" s="34">
        <v>1.3</v>
      </c>
      <c r="H87" s="34">
        <v>1.2</v>
      </c>
      <c r="I87" s="34">
        <v>0.01</v>
      </c>
      <c r="J87" s="34">
        <v>0.01</v>
      </c>
      <c r="K87" s="34">
        <v>32</v>
      </c>
      <c r="L87" s="34">
        <v>1450</v>
      </c>
      <c r="M87" s="34">
        <v>2E-3</v>
      </c>
      <c r="N87" s="34">
        <v>1.5</v>
      </c>
      <c r="O87" s="34">
        <v>14</v>
      </c>
      <c r="P87" s="34">
        <v>3</v>
      </c>
      <c r="Q87" s="34">
        <f>ROUND((W87/V87),0)</f>
        <v>1189</v>
      </c>
      <c r="R87" s="28" t="s">
        <v>75</v>
      </c>
      <c r="S87" s="28">
        <v>2908</v>
      </c>
      <c r="T87" s="34">
        <f>ROUND((D87*E87*F87*K87*N87*L87*I87*J87/3600)+(G87*H87*I87*M87*O87*P87),4)</f>
        <v>1.01E-2</v>
      </c>
      <c r="U87" s="34">
        <f>ROUND((((3.6*T87*Q87)/1000)),4)</f>
        <v>4.3200000000000002E-2</v>
      </c>
      <c r="V87" s="9">
        <v>240</v>
      </c>
      <c r="W87" s="9">
        <f>713278*0.4</f>
        <v>285311.2</v>
      </c>
      <c r="Y87" s="2"/>
      <c r="Z87" s="77"/>
    </row>
    <row r="88" spans="1:26" ht="38.25" x14ac:dyDescent="0.25">
      <c r="A88" s="847"/>
      <c r="B88" s="35" t="s">
        <v>74</v>
      </c>
      <c r="C88" s="863"/>
      <c r="D88" s="34">
        <v>1.9</v>
      </c>
      <c r="E88" s="34">
        <v>3.5</v>
      </c>
      <c r="F88" s="34">
        <v>1</v>
      </c>
      <c r="G88" s="34">
        <v>1.3</v>
      </c>
      <c r="H88" s="34">
        <v>1.2</v>
      </c>
      <c r="I88" s="34">
        <v>0.01</v>
      </c>
      <c r="J88" s="34">
        <v>0.01</v>
      </c>
      <c r="K88" s="34">
        <v>27</v>
      </c>
      <c r="L88" s="34">
        <v>1450</v>
      </c>
      <c r="M88" s="34">
        <v>2E-3</v>
      </c>
      <c r="N88" s="34">
        <v>1.5</v>
      </c>
      <c r="O88" s="34">
        <v>14</v>
      </c>
      <c r="P88" s="34">
        <v>1</v>
      </c>
      <c r="Q88" s="34">
        <f>ROUND((W88/V88),0)</f>
        <v>1070</v>
      </c>
      <c r="R88" s="28" t="s">
        <v>75</v>
      </c>
      <c r="S88" s="28">
        <v>2908</v>
      </c>
      <c r="T88" s="34">
        <f>ROUND((D88*E88*F88*K88*N88*L88*I88*J88/3600)+(G88*H88*I88*M88*O88*P88),4)</f>
        <v>1.1299999999999999E-2</v>
      </c>
      <c r="U88" s="34">
        <f>ROUND((((3.6*T88*Q88)/1000)),4)</f>
        <v>4.3499999999999997E-2</v>
      </c>
      <c r="V88" s="9">
        <v>400</v>
      </c>
      <c r="W88" s="9">
        <f>713278*0.6</f>
        <v>427966.8</v>
      </c>
      <c r="Y88" s="2"/>
      <c r="Z88" s="77"/>
    </row>
    <row r="89" spans="1:26" ht="25.5" x14ac:dyDescent="0.25">
      <c r="A89" s="873" t="s">
        <v>489</v>
      </c>
      <c r="B89" s="874"/>
      <c r="C89" s="874"/>
      <c r="D89" s="874"/>
      <c r="E89" s="874"/>
      <c r="F89" s="874"/>
      <c r="G89" s="874"/>
      <c r="H89" s="874"/>
      <c r="I89" s="874"/>
      <c r="J89" s="874"/>
      <c r="K89" s="874"/>
      <c r="L89" s="874"/>
      <c r="M89" s="874"/>
      <c r="N89" s="874"/>
      <c r="O89" s="874"/>
      <c r="P89" s="874"/>
      <c r="Q89" s="875"/>
      <c r="R89" s="29" t="s">
        <v>75</v>
      </c>
      <c r="S89" s="29">
        <v>2908</v>
      </c>
      <c r="T89" s="36">
        <f>T85+T87+T86+T88</f>
        <v>2.3899999999999998E-2</v>
      </c>
      <c r="U89" s="36">
        <f>U85+U86+U87+U88</f>
        <v>9.3799999999999994E-2</v>
      </c>
      <c r="V89" s="697">
        <f>T89</f>
        <v>2.3899999999999998E-2</v>
      </c>
      <c r="W89" s="698">
        <f>U89</f>
        <v>9.3799999999999994E-2</v>
      </c>
      <c r="X89" s="705">
        <v>2032</v>
      </c>
      <c r="Y89" s="3"/>
    </row>
    <row r="90" spans="1:26" ht="14.1" customHeight="1" x14ac:dyDescent="0.25">
      <c r="A90" s="767" t="s">
        <v>105</v>
      </c>
      <c r="B90" s="768"/>
      <c r="C90" s="768"/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768"/>
      <c r="P90" s="768"/>
      <c r="Q90" s="768"/>
      <c r="R90" s="768"/>
      <c r="S90" s="768"/>
      <c r="T90" s="768"/>
      <c r="U90" s="769"/>
    </row>
    <row r="91" spans="1:26" ht="14.1" customHeight="1" x14ac:dyDescent="0.25">
      <c r="A91" s="767" t="s">
        <v>104</v>
      </c>
      <c r="B91" s="868"/>
      <c r="C91" s="868"/>
      <c r="D91" s="868"/>
      <c r="E91" s="868"/>
      <c r="F91" s="868"/>
      <c r="G91" s="868"/>
      <c r="H91" s="868"/>
      <c r="I91" s="868"/>
      <c r="J91" s="868"/>
      <c r="K91" s="868"/>
      <c r="L91" s="868"/>
      <c r="M91" s="868"/>
      <c r="N91" s="868"/>
      <c r="O91" s="868"/>
      <c r="P91" s="868"/>
      <c r="Q91" s="868"/>
      <c r="R91" s="868"/>
      <c r="S91" s="868"/>
      <c r="T91" s="868"/>
      <c r="U91" s="869"/>
    </row>
    <row r="92" spans="1:26" ht="25.5" x14ac:dyDescent="0.25">
      <c r="A92" s="864">
        <v>8005</v>
      </c>
      <c r="B92" s="5" t="s">
        <v>73</v>
      </c>
      <c r="C92" s="862" t="s">
        <v>682</v>
      </c>
      <c r="D92" s="6">
        <v>1.3</v>
      </c>
      <c r="E92" s="6">
        <v>3.5</v>
      </c>
      <c r="F92" s="6">
        <v>1</v>
      </c>
      <c r="G92" s="6">
        <v>1.3</v>
      </c>
      <c r="H92" s="6">
        <v>1.2</v>
      </c>
      <c r="I92" s="34">
        <v>0.01</v>
      </c>
      <c r="J92" s="6">
        <v>0.01</v>
      </c>
      <c r="K92" s="6">
        <v>27</v>
      </c>
      <c r="L92" s="6">
        <v>1450</v>
      </c>
      <c r="M92" s="6">
        <v>2E-3</v>
      </c>
      <c r="N92" s="6">
        <v>1.5</v>
      </c>
      <c r="O92" s="6">
        <v>14</v>
      </c>
      <c r="P92" s="6">
        <v>4</v>
      </c>
      <c r="Q92" s="6">
        <f>ROUND((W92/V92),0)</f>
        <v>1065</v>
      </c>
      <c r="R92" s="1" t="s">
        <v>75</v>
      </c>
      <c r="S92" s="1">
        <v>2908</v>
      </c>
      <c r="T92" s="6">
        <f>ROUND((D92*E92*F92*K92*N92*L92*I92*J92/3600)+(G92*H92*I92*M92*O92*P92),4)</f>
        <v>9.1999999999999998E-3</v>
      </c>
      <c r="U92" s="6">
        <f>ROUND((((3.6*T92*Q92)/1000)),4)</f>
        <v>3.5299999999999998E-2</v>
      </c>
      <c r="V92" s="9">
        <v>200</v>
      </c>
      <c r="W92" s="9">
        <f>532505*0.4</f>
        <v>213002</v>
      </c>
      <c r="Y92" s="2"/>
      <c r="Z92" s="77"/>
    </row>
    <row r="93" spans="1:26" ht="38.25" x14ac:dyDescent="0.25">
      <c r="A93" s="865"/>
      <c r="B93" s="5" t="s">
        <v>74</v>
      </c>
      <c r="C93" s="863"/>
      <c r="D93" s="6">
        <v>1.9</v>
      </c>
      <c r="E93" s="6">
        <v>3.5</v>
      </c>
      <c r="F93" s="6">
        <v>1</v>
      </c>
      <c r="G93" s="6">
        <v>1.3</v>
      </c>
      <c r="H93" s="6">
        <v>1.2</v>
      </c>
      <c r="I93" s="34">
        <v>0.01</v>
      </c>
      <c r="J93" s="6">
        <v>0.01</v>
      </c>
      <c r="K93" s="6">
        <v>24</v>
      </c>
      <c r="L93" s="6">
        <v>1450</v>
      </c>
      <c r="M93" s="6">
        <v>2E-3</v>
      </c>
      <c r="N93" s="6">
        <v>1.5</v>
      </c>
      <c r="O93" s="6">
        <v>14</v>
      </c>
      <c r="P93" s="6">
        <v>3</v>
      </c>
      <c r="Q93" s="6">
        <f>ROUND((W93/V93),0)</f>
        <v>888</v>
      </c>
      <c r="R93" s="1" t="s">
        <v>75</v>
      </c>
      <c r="S93" s="1">
        <v>2908</v>
      </c>
      <c r="T93" s="6">
        <f>ROUND((D93*E93*F93*K93*N93*L93*I93*J93/3600)+(G93*H93*I93*M93*O93*P93),4)</f>
        <v>1.0999999999999999E-2</v>
      </c>
      <c r="U93" s="6">
        <f>ROUND((((3.6*T93*Q93)/1000)),4)</f>
        <v>3.5200000000000002E-2</v>
      </c>
      <c r="V93" s="9">
        <v>360</v>
      </c>
      <c r="W93" s="9">
        <f>532505*0.6</f>
        <v>319503</v>
      </c>
      <c r="Y93" s="2"/>
      <c r="Z93" s="77"/>
    </row>
    <row r="94" spans="1:26" ht="25.5" x14ac:dyDescent="0.25">
      <c r="A94" s="865"/>
      <c r="B94" s="5" t="s">
        <v>73</v>
      </c>
      <c r="C94" s="871" t="s">
        <v>279</v>
      </c>
      <c r="D94" s="6">
        <v>1.3</v>
      </c>
      <c r="E94" s="6">
        <v>3.5</v>
      </c>
      <c r="F94" s="6">
        <v>1</v>
      </c>
      <c r="G94" s="6">
        <v>1.3</v>
      </c>
      <c r="H94" s="6">
        <v>1.2</v>
      </c>
      <c r="I94" s="6">
        <v>0.01</v>
      </c>
      <c r="J94" s="6">
        <v>0.01</v>
      </c>
      <c r="K94" s="6">
        <v>4</v>
      </c>
      <c r="L94" s="6">
        <v>1450</v>
      </c>
      <c r="M94" s="6">
        <v>2E-3</v>
      </c>
      <c r="N94" s="6">
        <v>1.5</v>
      </c>
      <c r="O94" s="6">
        <v>14</v>
      </c>
      <c r="P94" s="6">
        <v>2</v>
      </c>
      <c r="Q94" s="6">
        <f>ROUND((W94/V94),0)</f>
        <v>601</v>
      </c>
      <c r="R94" s="1" t="s">
        <v>75</v>
      </c>
      <c r="S94" s="1">
        <v>2908</v>
      </c>
      <c r="T94" s="6">
        <f>ROUND((D94*E94*F94*K94*N94*L94*I94*J94/3600)+(G94*H94*I94*M94*O94*P94),4)</f>
        <v>2E-3</v>
      </c>
      <c r="U94" s="6">
        <f>ROUND((((3.6*T94*Q94)/1000)),4)</f>
        <v>4.3E-3</v>
      </c>
      <c r="V94" s="9">
        <v>30</v>
      </c>
      <c r="W94" s="9">
        <f>45073*0.4</f>
        <v>18029.2</v>
      </c>
    </row>
    <row r="95" spans="1:26" ht="38.25" x14ac:dyDescent="0.25">
      <c r="A95" s="865"/>
      <c r="B95" s="5" t="s">
        <v>74</v>
      </c>
      <c r="C95" s="872"/>
      <c r="D95" s="6">
        <v>1.9</v>
      </c>
      <c r="E95" s="6">
        <v>3.5</v>
      </c>
      <c r="F95" s="6">
        <v>1</v>
      </c>
      <c r="G95" s="6">
        <v>1.3</v>
      </c>
      <c r="H95" s="6">
        <v>1.2</v>
      </c>
      <c r="I95" s="6">
        <v>0.01</v>
      </c>
      <c r="J95" s="6">
        <v>0.01</v>
      </c>
      <c r="K95" s="6">
        <v>2</v>
      </c>
      <c r="L95" s="6">
        <v>1450</v>
      </c>
      <c r="M95" s="6">
        <v>2E-3</v>
      </c>
      <c r="N95" s="6">
        <v>1.5</v>
      </c>
      <c r="O95" s="6">
        <v>14</v>
      </c>
      <c r="P95" s="6">
        <v>1</v>
      </c>
      <c r="Q95" s="6">
        <f>ROUND((W95/V95),0)</f>
        <v>901</v>
      </c>
      <c r="R95" s="1" t="s">
        <v>75</v>
      </c>
      <c r="S95" s="1">
        <v>2908</v>
      </c>
      <c r="T95" s="6">
        <f>ROUND((D95*E95*F95*K95*N95*L95*I95*J95/3600)+(G95*H95*I95*M95*O95*P95),4)</f>
        <v>1.1999999999999999E-3</v>
      </c>
      <c r="U95" s="6">
        <f>ROUND((((3.6*T95*Q95)/1000)),4)</f>
        <v>3.8999999999999998E-3</v>
      </c>
      <c r="V95" s="9">
        <v>30</v>
      </c>
      <c r="W95" s="9">
        <f>45073*0.6</f>
        <v>27043.8</v>
      </c>
    </row>
    <row r="96" spans="1:26" ht="25.5" x14ac:dyDescent="0.25">
      <c r="A96" s="878" t="s">
        <v>489</v>
      </c>
      <c r="B96" s="879"/>
      <c r="C96" s="879"/>
      <c r="D96" s="879"/>
      <c r="E96" s="879"/>
      <c r="F96" s="879"/>
      <c r="G96" s="879"/>
      <c r="H96" s="879"/>
      <c r="I96" s="879"/>
      <c r="J96" s="879"/>
      <c r="K96" s="879"/>
      <c r="L96" s="879"/>
      <c r="M96" s="879"/>
      <c r="N96" s="879"/>
      <c r="O96" s="879"/>
      <c r="P96" s="879"/>
      <c r="Q96" s="880"/>
      <c r="R96" s="7" t="s">
        <v>75</v>
      </c>
      <c r="S96" s="7">
        <v>2908</v>
      </c>
      <c r="T96" s="8">
        <f>T92+T93+T94+T95</f>
        <v>2.3399999999999997E-2</v>
      </c>
      <c r="U96" s="8">
        <f>U92+U93+U94+U95</f>
        <v>7.8700000000000006E-2</v>
      </c>
      <c r="V96" s="697">
        <f>T96</f>
        <v>2.3399999999999997E-2</v>
      </c>
      <c r="W96" s="698">
        <f>U96</f>
        <v>7.8700000000000006E-2</v>
      </c>
      <c r="X96" s="705">
        <v>2033</v>
      </c>
      <c r="Y96" s="3"/>
    </row>
    <row r="97" spans="1:26" ht="14.1" customHeight="1" x14ac:dyDescent="0.25">
      <c r="A97" s="781" t="s">
        <v>109</v>
      </c>
      <c r="B97" s="782"/>
      <c r="C97" s="782"/>
      <c r="D97" s="782"/>
      <c r="E97" s="782"/>
      <c r="F97" s="782"/>
      <c r="G97" s="782"/>
      <c r="H97" s="782"/>
      <c r="I97" s="782"/>
      <c r="J97" s="782"/>
      <c r="K97" s="782"/>
      <c r="L97" s="782"/>
      <c r="M97" s="782"/>
      <c r="N97" s="782"/>
      <c r="O97" s="782"/>
      <c r="P97" s="782"/>
      <c r="Q97" s="782"/>
      <c r="R97" s="782"/>
      <c r="S97" s="782"/>
      <c r="T97" s="782"/>
      <c r="U97" s="783"/>
    </row>
    <row r="98" spans="1:26" ht="14.1" customHeight="1" x14ac:dyDescent="0.25">
      <c r="A98" s="781" t="s">
        <v>110</v>
      </c>
      <c r="B98" s="876"/>
      <c r="C98" s="876"/>
      <c r="D98" s="876"/>
      <c r="E98" s="876"/>
      <c r="F98" s="876"/>
      <c r="G98" s="876"/>
      <c r="H98" s="876"/>
      <c r="I98" s="876"/>
      <c r="J98" s="876"/>
      <c r="K98" s="876"/>
      <c r="L98" s="876"/>
      <c r="M98" s="876"/>
      <c r="N98" s="876"/>
      <c r="O98" s="876"/>
      <c r="P98" s="876"/>
      <c r="Q98" s="876"/>
      <c r="R98" s="876"/>
      <c r="S98" s="876"/>
      <c r="T98" s="876"/>
      <c r="U98" s="877"/>
    </row>
    <row r="99" spans="1:26" ht="25.5" x14ac:dyDescent="0.25">
      <c r="A99" s="867">
        <v>8005</v>
      </c>
      <c r="B99" s="35" t="s">
        <v>73</v>
      </c>
      <c r="C99" s="862" t="s">
        <v>276</v>
      </c>
      <c r="D99" s="34">
        <v>1.3</v>
      </c>
      <c r="E99" s="34">
        <v>3.5</v>
      </c>
      <c r="F99" s="34">
        <v>1</v>
      </c>
      <c r="G99" s="34">
        <v>1.3</v>
      </c>
      <c r="H99" s="34">
        <v>1.2</v>
      </c>
      <c r="I99" s="34">
        <v>0.01</v>
      </c>
      <c r="J99" s="34">
        <v>0.01</v>
      </c>
      <c r="K99" s="34">
        <v>4</v>
      </c>
      <c r="L99" s="34">
        <v>1450</v>
      </c>
      <c r="M99" s="34">
        <v>2E-3</v>
      </c>
      <c r="N99" s="34">
        <v>1.5</v>
      </c>
      <c r="O99" s="34">
        <v>14</v>
      </c>
      <c r="P99" s="34">
        <v>1</v>
      </c>
      <c r="Q99" s="34">
        <f>ROUND((W99/V99),0)</f>
        <v>364</v>
      </c>
      <c r="R99" s="28" t="s">
        <v>75</v>
      </c>
      <c r="S99" s="28">
        <v>2908</v>
      </c>
      <c r="T99" s="34">
        <f>ROUND((D99*E99*F99*K99*N99*L99*I99*J99/3600)+(G99*H99*I99*M99*O99*P99),4)</f>
        <v>1.5E-3</v>
      </c>
      <c r="U99" s="34">
        <f>ROUND((((3.6*T99*Q99)/1000)),4)</f>
        <v>2E-3</v>
      </c>
      <c r="V99" s="647">
        <v>30</v>
      </c>
      <c r="W99" s="647">
        <f>27285*0.4</f>
        <v>10914</v>
      </c>
      <c r="Y99" s="2"/>
      <c r="Z99" s="77"/>
    </row>
    <row r="100" spans="1:26" ht="38.25" x14ac:dyDescent="0.25">
      <c r="A100" s="847"/>
      <c r="B100" s="35" t="s">
        <v>74</v>
      </c>
      <c r="C100" s="863"/>
      <c r="D100" s="34">
        <v>1.9</v>
      </c>
      <c r="E100" s="34">
        <v>3.5</v>
      </c>
      <c r="F100" s="34">
        <v>1</v>
      </c>
      <c r="G100" s="34">
        <v>1.3</v>
      </c>
      <c r="H100" s="34">
        <v>1.2</v>
      </c>
      <c r="I100" s="34">
        <v>0.01</v>
      </c>
      <c r="J100" s="34">
        <v>0.01</v>
      </c>
      <c r="K100" s="34">
        <v>4</v>
      </c>
      <c r="L100" s="34">
        <v>1450</v>
      </c>
      <c r="M100" s="34">
        <v>2E-3</v>
      </c>
      <c r="N100" s="34">
        <v>1.5</v>
      </c>
      <c r="O100" s="34">
        <v>14</v>
      </c>
      <c r="P100" s="34">
        <v>1</v>
      </c>
      <c r="Q100" s="34">
        <f>ROUND((W100/V100),0)</f>
        <v>273</v>
      </c>
      <c r="R100" s="28" t="s">
        <v>75</v>
      </c>
      <c r="S100" s="28">
        <v>2908</v>
      </c>
      <c r="T100" s="34">
        <f>ROUND((D100*E100*F100*K100*N100*L100*I100*J100/3600)+(G100*H100*I100*M100*O100*P100),4)</f>
        <v>2E-3</v>
      </c>
      <c r="U100" s="34">
        <f>ROUND((((3.6*T100*Q100)/1000)),4)</f>
        <v>2E-3</v>
      </c>
      <c r="V100" s="647">
        <v>60</v>
      </c>
      <c r="W100" s="647">
        <f>27285*0.6</f>
        <v>16371</v>
      </c>
      <c r="Y100" s="2"/>
      <c r="Z100" s="77"/>
    </row>
    <row r="101" spans="1:26" ht="25.5" x14ac:dyDescent="0.25">
      <c r="A101" s="866"/>
      <c r="B101" s="5" t="s">
        <v>73</v>
      </c>
      <c r="C101" s="862" t="s">
        <v>682</v>
      </c>
      <c r="D101" s="6">
        <v>1.3</v>
      </c>
      <c r="E101" s="6">
        <v>3.5</v>
      </c>
      <c r="F101" s="6">
        <v>1</v>
      </c>
      <c r="G101" s="6">
        <v>1.3</v>
      </c>
      <c r="H101" s="6">
        <v>1.2</v>
      </c>
      <c r="I101" s="34">
        <v>0.01</v>
      </c>
      <c r="J101" s="6">
        <v>0.01</v>
      </c>
      <c r="K101" s="6">
        <v>48</v>
      </c>
      <c r="L101" s="6">
        <v>1450</v>
      </c>
      <c r="M101" s="6">
        <v>2E-3</v>
      </c>
      <c r="N101" s="6">
        <v>1.5</v>
      </c>
      <c r="O101" s="6">
        <v>14</v>
      </c>
      <c r="P101" s="6">
        <v>4</v>
      </c>
      <c r="Q101" s="6">
        <f>ROUND((W101/V101),0)</f>
        <v>775</v>
      </c>
      <c r="R101" s="1" t="s">
        <v>75</v>
      </c>
      <c r="S101" s="1">
        <v>2908</v>
      </c>
      <c r="T101" s="6">
        <f>ROUND((D101*E101*F101*K101*N101*L101*I101*J101/3600)+(G101*H101*I101*M101*O101*P101),4)</f>
        <v>1.49E-2</v>
      </c>
      <c r="U101" s="6">
        <f>ROUND((((3.6*T101*Q101)/1000)),4)</f>
        <v>4.1599999999999998E-2</v>
      </c>
      <c r="V101" s="9">
        <v>360</v>
      </c>
      <c r="W101" s="9">
        <f>697719*0.4</f>
        <v>279087.60000000003</v>
      </c>
      <c r="Y101" s="2"/>
      <c r="Z101" s="77"/>
    </row>
    <row r="102" spans="1:26" ht="38.25" x14ac:dyDescent="0.25">
      <c r="A102" s="829"/>
      <c r="B102" s="5" t="s">
        <v>74</v>
      </c>
      <c r="C102" s="863"/>
      <c r="D102" s="6">
        <v>1.9</v>
      </c>
      <c r="E102" s="6">
        <v>3.5</v>
      </c>
      <c r="F102" s="6">
        <v>1</v>
      </c>
      <c r="G102" s="6">
        <v>1.3</v>
      </c>
      <c r="H102" s="6">
        <v>1.2</v>
      </c>
      <c r="I102" s="34">
        <v>0.01</v>
      </c>
      <c r="J102" s="6">
        <v>0.01</v>
      </c>
      <c r="K102" s="6">
        <v>34</v>
      </c>
      <c r="L102" s="6">
        <v>1450</v>
      </c>
      <c r="M102" s="6">
        <v>2E-3</v>
      </c>
      <c r="N102" s="6">
        <v>1.5</v>
      </c>
      <c r="O102" s="6">
        <v>14</v>
      </c>
      <c r="P102" s="6">
        <v>2</v>
      </c>
      <c r="Q102" s="6">
        <f>ROUND((W102/V102),0)</f>
        <v>837</v>
      </c>
      <c r="R102" s="1" t="s">
        <v>75</v>
      </c>
      <c r="S102" s="1">
        <v>2908</v>
      </c>
      <c r="T102" s="6">
        <f>ROUND((D102*E102*F102*K102*N102*L102*I102*J102/3600)+(G102*H102*I102*M102*O102*P102),4)</f>
        <v>1.4500000000000001E-2</v>
      </c>
      <c r="U102" s="6">
        <f>ROUND((((3.6*T102*Q102)/1000)),4)</f>
        <v>4.3700000000000003E-2</v>
      </c>
      <c r="V102" s="9">
        <v>500</v>
      </c>
      <c r="W102" s="9">
        <f>697719*0.6</f>
        <v>418631.39999999997</v>
      </c>
      <c r="Y102" s="2"/>
      <c r="Z102" s="77"/>
    </row>
    <row r="103" spans="1:26" ht="25.5" x14ac:dyDescent="0.25">
      <c r="A103" s="878" t="s">
        <v>489</v>
      </c>
      <c r="B103" s="879"/>
      <c r="C103" s="879"/>
      <c r="D103" s="879"/>
      <c r="E103" s="879"/>
      <c r="F103" s="879"/>
      <c r="G103" s="879"/>
      <c r="H103" s="879"/>
      <c r="I103" s="879"/>
      <c r="J103" s="879"/>
      <c r="K103" s="879"/>
      <c r="L103" s="879"/>
      <c r="M103" s="879"/>
      <c r="N103" s="879"/>
      <c r="O103" s="879"/>
      <c r="P103" s="879"/>
      <c r="Q103" s="880"/>
      <c r="R103" s="7" t="s">
        <v>75</v>
      </c>
      <c r="S103" s="7">
        <v>2908</v>
      </c>
      <c r="T103" s="8">
        <f>MAX(T99,T101)+MAX(T100,T102)</f>
        <v>2.9400000000000003E-2</v>
      </c>
      <c r="U103" s="36">
        <f>U99+U100+U101+U102</f>
        <v>8.9300000000000004E-2</v>
      </c>
      <c r="V103" s="697">
        <f>T103</f>
        <v>2.9400000000000003E-2</v>
      </c>
      <c r="W103" s="698">
        <f>U103</f>
        <v>8.9300000000000004E-2</v>
      </c>
      <c r="X103" s="705">
        <v>2037</v>
      </c>
      <c r="Y103" s="3"/>
    </row>
    <row r="104" spans="1:26" ht="14.1" customHeight="1" x14ac:dyDescent="0.25">
      <c r="A104" s="767" t="s">
        <v>111</v>
      </c>
      <c r="B104" s="768"/>
      <c r="C104" s="768"/>
      <c r="D104" s="768"/>
      <c r="E104" s="768"/>
      <c r="F104" s="768"/>
      <c r="G104" s="768"/>
      <c r="H104" s="768"/>
      <c r="I104" s="768"/>
      <c r="J104" s="768"/>
      <c r="K104" s="768"/>
      <c r="L104" s="768"/>
      <c r="M104" s="768"/>
      <c r="N104" s="768"/>
      <c r="O104" s="768"/>
      <c r="P104" s="768"/>
      <c r="Q104" s="768"/>
      <c r="R104" s="768"/>
      <c r="S104" s="768"/>
      <c r="T104" s="768"/>
      <c r="U104" s="769"/>
      <c r="V104" s="623"/>
      <c r="W104" s="623"/>
    </row>
    <row r="105" spans="1:26" ht="14.1" customHeight="1" x14ac:dyDescent="0.25">
      <c r="A105" s="767" t="s">
        <v>110</v>
      </c>
      <c r="B105" s="868"/>
      <c r="C105" s="868"/>
      <c r="D105" s="868"/>
      <c r="E105" s="868"/>
      <c r="F105" s="868"/>
      <c r="G105" s="868"/>
      <c r="H105" s="868"/>
      <c r="I105" s="868"/>
      <c r="J105" s="868"/>
      <c r="K105" s="868"/>
      <c r="L105" s="868"/>
      <c r="M105" s="868"/>
      <c r="N105" s="868"/>
      <c r="O105" s="868"/>
      <c r="P105" s="868"/>
      <c r="Q105" s="868"/>
      <c r="R105" s="868"/>
      <c r="S105" s="868"/>
      <c r="T105" s="868"/>
      <c r="U105" s="869"/>
    </row>
    <row r="106" spans="1:26" ht="25.5" x14ac:dyDescent="0.25">
      <c r="A106" s="867">
        <v>8005</v>
      </c>
      <c r="B106" s="35" t="s">
        <v>73</v>
      </c>
      <c r="C106" s="862" t="s">
        <v>682</v>
      </c>
      <c r="D106" s="34">
        <v>1.3</v>
      </c>
      <c r="E106" s="34">
        <v>3.5</v>
      </c>
      <c r="F106" s="34">
        <v>1</v>
      </c>
      <c r="G106" s="34">
        <v>1.3</v>
      </c>
      <c r="H106" s="34">
        <v>1.2</v>
      </c>
      <c r="I106" s="34">
        <v>0.01</v>
      </c>
      <c r="J106" s="34">
        <v>0.01</v>
      </c>
      <c r="K106" s="34">
        <v>48</v>
      </c>
      <c r="L106" s="34">
        <v>1450</v>
      </c>
      <c r="M106" s="34">
        <v>2E-3</v>
      </c>
      <c r="N106" s="34">
        <v>1.5</v>
      </c>
      <c r="O106" s="34">
        <v>14</v>
      </c>
      <c r="P106" s="34">
        <v>4</v>
      </c>
      <c r="Q106" s="34">
        <f>ROUND((W106/V106),0)</f>
        <v>883</v>
      </c>
      <c r="R106" s="28" t="s">
        <v>75</v>
      </c>
      <c r="S106" s="28">
        <v>2908</v>
      </c>
      <c r="T106" s="34">
        <f>ROUND((D106*E106*F106*K106*N106*L106*I106*J106/3600)+(G106*H106*I106*M106*O106*P106),4)</f>
        <v>1.49E-2</v>
      </c>
      <c r="U106" s="34">
        <f>ROUND((((3.6*T106*Q106)/1000)),4)</f>
        <v>4.7399999999999998E-2</v>
      </c>
      <c r="V106" s="9">
        <v>360</v>
      </c>
      <c r="W106" s="9">
        <f>795067*0.4</f>
        <v>318026.80000000005</v>
      </c>
      <c r="Y106" s="2"/>
      <c r="Z106" s="77"/>
    </row>
    <row r="107" spans="1:26" ht="38.25" x14ac:dyDescent="0.25">
      <c r="A107" s="847"/>
      <c r="B107" s="35" t="s">
        <v>74</v>
      </c>
      <c r="C107" s="863"/>
      <c r="D107" s="34">
        <v>1.9</v>
      </c>
      <c r="E107" s="34">
        <v>3.5</v>
      </c>
      <c r="F107" s="34">
        <v>1</v>
      </c>
      <c r="G107" s="34">
        <v>1.3</v>
      </c>
      <c r="H107" s="34">
        <v>1.2</v>
      </c>
      <c r="I107" s="34">
        <v>0.01</v>
      </c>
      <c r="J107" s="34">
        <v>0.01</v>
      </c>
      <c r="K107" s="34">
        <v>34</v>
      </c>
      <c r="L107" s="34">
        <v>1450</v>
      </c>
      <c r="M107" s="34">
        <v>2E-3</v>
      </c>
      <c r="N107" s="34">
        <v>1.5</v>
      </c>
      <c r="O107" s="34">
        <v>14</v>
      </c>
      <c r="P107" s="34">
        <v>4</v>
      </c>
      <c r="Q107" s="34">
        <f>ROUND((W107/V107),0)</f>
        <v>954</v>
      </c>
      <c r="R107" s="28" t="s">
        <v>75</v>
      </c>
      <c r="S107" s="28">
        <v>2908</v>
      </c>
      <c r="T107" s="34">
        <f>ROUND((D107*E107*F107*K107*N107*L107*I107*J107/3600)+(G107*H107*I107*M107*O107*P107),4)</f>
        <v>1.54E-2</v>
      </c>
      <c r="U107" s="34">
        <f>ROUND((((3.6*T107*Q107)/1000)),4)</f>
        <v>5.2900000000000003E-2</v>
      </c>
      <c r="V107" s="9">
        <v>500</v>
      </c>
      <c r="W107" s="9">
        <f>795067*0.6</f>
        <v>477040.19999999995</v>
      </c>
      <c r="Y107" s="2"/>
      <c r="Z107" s="77"/>
    </row>
    <row r="108" spans="1:26" ht="25.5" x14ac:dyDescent="0.25">
      <c r="A108" s="847"/>
      <c r="B108" s="35" t="s">
        <v>73</v>
      </c>
      <c r="C108" s="862" t="s">
        <v>279</v>
      </c>
      <c r="D108" s="34">
        <v>1.3</v>
      </c>
      <c r="E108" s="34">
        <v>3.5</v>
      </c>
      <c r="F108" s="34">
        <v>1</v>
      </c>
      <c r="G108" s="34">
        <v>1.3</v>
      </c>
      <c r="H108" s="34">
        <v>1.2</v>
      </c>
      <c r="I108" s="34">
        <v>0.01</v>
      </c>
      <c r="J108" s="34">
        <v>0.01</v>
      </c>
      <c r="K108" s="34">
        <v>6</v>
      </c>
      <c r="L108" s="34">
        <v>1450</v>
      </c>
      <c r="M108" s="34">
        <v>2E-3</v>
      </c>
      <c r="N108" s="34">
        <v>1.5</v>
      </c>
      <c r="O108" s="34">
        <v>14</v>
      </c>
      <c r="P108" s="34">
        <v>2</v>
      </c>
      <c r="Q108" s="34">
        <f>ROUND((W108/V108),0)</f>
        <v>552</v>
      </c>
      <c r="R108" s="28" t="s">
        <v>75</v>
      </c>
      <c r="S108" s="28">
        <v>2908</v>
      </c>
      <c r="T108" s="34">
        <f>ROUND((D108*E108*F108*K108*N108*L108*I108*J108/3600)+(G108*H108*I108*M108*O108*P108),4)</f>
        <v>2.5000000000000001E-3</v>
      </c>
      <c r="U108" s="34">
        <f>ROUND((((3.6*T108*Q108)/1000)),4)</f>
        <v>5.0000000000000001E-3</v>
      </c>
      <c r="V108" s="647">
        <v>40</v>
      </c>
      <c r="W108" s="9">
        <f>55189*0.4</f>
        <v>22075.600000000002</v>
      </c>
      <c r="Y108" s="2"/>
    </row>
    <row r="109" spans="1:26" ht="38.25" x14ac:dyDescent="0.25">
      <c r="A109" s="847"/>
      <c r="B109" s="35" t="s">
        <v>74</v>
      </c>
      <c r="C109" s="863"/>
      <c r="D109" s="34">
        <v>1.9</v>
      </c>
      <c r="E109" s="34">
        <v>3.5</v>
      </c>
      <c r="F109" s="34">
        <v>1</v>
      </c>
      <c r="G109" s="34">
        <v>1.3</v>
      </c>
      <c r="H109" s="34">
        <v>1.2</v>
      </c>
      <c r="I109" s="34">
        <v>0.01</v>
      </c>
      <c r="J109" s="34">
        <v>0.01</v>
      </c>
      <c r="K109" s="34">
        <v>3</v>
      </c>
      <c r="L109" s="34">
        <v>1450</v>
      </c>
      <c r="M109" s="34">
        <v>2E-3</v>
      </c>
      <c r="N109" s="34">
        <v>1.5</v>
      </c>
      <c r="O109" s="34">
        <v>14</v>
      </c>
      <c r="P109" s="34">
        <v>1</v>
      </c>
      <c r="Q109" s="34">
        <f>ROUND((W109/V109),0)</f>
        <v>828</v>
      </c>
      <c r="R109" s="28" t="s">
        <v>75</v>
      </c>
      <c r="S109" s="28">
        <v>2908</v>
      </c>
      <c r="T109" s="34">
        <f>ROUND((D109*E109*F109*K109*N109*L109*I109*J109/3600)+(G109*H109*I109*M109*O109*P109),4)</f>
        <v>1.6000000000000001E-3</v>
      </c>
      <c r="U109" s="34">
        <f>ROUND((((3.6*T109*Q109)/1000)),4)</f>
        <v>4.7999999999999996E-3</v>
      </c>
      <c r="V109" s="647">
        <v>40</v>
      </c>
      <c r="W109" s="9">
        <f>55189*0.6</f>
        <v>33113.4</v>
      </c>
      <c r="Y109" s="2"/>
    </row>
    <row r="110" spans="1:26" ht="25.5" x14ac:dyDescent="0.25">
      <c r="A110" s="878" t="s">
        <v>489</v>
      </c>
      <c r="B110" s="879"/>
      <c r="C110" s="879"/>
      <c r="D110" s="879"/>
      <c r="E110" s="879"/>
      <c r="F110" s="879"/>
      <c r="G110" s="879"/>
      <c r="H110" s="879"/>
      <c r="I110" s="879"/>
      <c r="J110" s="879"/>
      <c r="K110" s="879"/>
      <c r="L110" s="879"/>
      <c r="M110" s="879"/>
      <c r="N110" s="879"/>
      <c r="O110" s="879"/>
      <c r="P110" s="879"/>
      <c r="Q110" s="880"/>
      <c r="R110" s="7" t="s">
        <v>75</v>
      </c>
      <c r="S110" s="7">
        <v>2908</v>
      </c>
      <c r="T110" s="8">
        <f>T106+T107+T108+T109</f>
        <v>3.44E-2</v>
      </c>
      <c r="U110" s="8">
        <f>U106+U107+U108+U109</f>
        <v>0.1101</v>
      </c>
      <c r="V110" s="697">
        <f>T110</f>
        <v>3.44E-2</v>
      </c>
      <c r="W110" s="698">
        <f>U110</f>
        <v>0.1101</v>
      </c>
      <c r="X110" s="705">
        <v>2038</v>
      </c>
      <c r="Y110" s="3"/>
    </row>
    <row r="111" spans="1:26" x14ac:dyDescent="0.25">
      <c r="A111" s="767" t="s">
        <v>112</v>
      </c>
      <c r="B111" s="768"/>
      <c r="C111" s="768"/>
      <c r="D111" s="768"/>
      <c r="E111" s="768"/>
      <c r="F111" s="768"/>
      <c r="G111" s="768"/>
      <c r="H111" s="768"/>
      <c r="I111" s="768"/>
      <c r="J111" s="768"/>
      <c r="K111" s="768"/>
      <c r="L111" s="768"/>
      <c r="M111" s="768"/>
      <c r="N111" s="768"/>
      <c r="O111" s="768"/>
      <c r="P111" s="768"/>
      <c r="Q111" s="768"/>
      <c r="R111" s="768"/>
      <c r="S111" s="768"/>
      <c r="T111" s="768"/>
      <c r="U111" s="769"/>
    </row>
    <row r="112" spans="1:26" x14ac:dyDescent="0.25">
      <c r="A112" s="767" t="s">
        <v>113</v>
      </c>
      <c r="B112" s="868"/>
      <c r="C112" s="868"/>
      <c r="D112" s="868"/>
      <c r="E112" s="868"/>
      <c r="F112" s="868"/>
      <c r="G112" s="868"/>
      <c r="H112" s="868"/>
      <c r="I112" s="868"/>
      <c r="J112" s="868"/>
      <c r="K112" s="868"/>
      <c r="L112" s="868"/>
      <c r="M112" s="868"/>
      <c r="N112" s="868"/>
      <c r="O112" s="868"/>
      <c r="P112" s="868"/>
      <c r="Q112" s="868"/>
      <c r="R112" s="868"/>
      <c r="S112" s="868"/>
      <c r="T112" s="868"/>
      <c r="U112" s="869"/>
    </row>
    <row r="113" spans="1:26" ht="25.5" x14ac:dyDescent="0.25">
      <c r="A113" s="867">
        <v>8005</v>
      </c>
      <c r="B113" s="35" t="s">
        <v>73</v>
      </c>
      <c r="C113" s="862" t="s">
        <v>276</v>
      </c>
      <c r="D113" s="34">
        <v>1.3</v>
      </c>
      <c r="E113" s="34">
        <v>3.5</v>
      </c>
      <c r="F113" s="34">
        <v>1</v>
      </c>
      <c r="G113" s="34">
        <v>1.3</v>
      </c>
      <c r="H113" s="34">
        <v>1.2</v>
      </c>
      <c r="I113" s="34">
        <v>0.01</v>
      </c>
      <c r="J113" s="34">
        <v>0.01</v>
      </c>
      <c r="K113" s="34">
        <v>6</v>
      </c>
      <c r="L113" s="34">
        <v>1450</v>
      </c>
      <c r="M113" s="34">
        <v>2E-3</v>
      </c>
      <c r="N113" s="34">
        <v>1.5</v>
      </c>
      <c r="O113" s="34">
        <v>14</v>
      </c>
      <c r="P113" s="34">
        <v>1</v>
      </c>
      <c r="Q113" s="34">
        <f>ROUND((W113/V113),0)</f>
        <v>573</v>
      </c>
      <c r="R113" s="28" t="s">
        <v>75</v>
      </c>
      <c r="S113" s="28">
        <v>2908</v>
      </c>
      <c r="T113" s="34">
        <f>ROUND((D113*E113*F113*K113*N113*L113*I113*J113/3600)+(G113*H113*I113*M113*O113*P113),4)</f>
        <v>2.0999999999999999E-3</v>
      </c>
      <c r="U113" s="34">
        <f>ROUND((((3.6*T113*Q113)/1000)),4)</f>
        <v>4.3E-3</v>
      </c>
      <c r="V113" s="647">
        <v>20</v>
      </c>
      <c r="W113" s="647">
        <f>28650*0.4</f>
        <v>11460</v>
      </c>
      <c r="Y113" s="2"/>
      <c r="Z113" s="77"/>
    </row>
    <row r="114" spans="1:26" ht="38.25" x14ac:dyDescent="0.25">
      <c r="A114" s="847"/>
      <c r="B114" s="35" t="s">
        <v>74</v>
      </c>
      <c r="C114" s="863"/>
      <c r="D114" s="34">
        <v>1.9</v>
      </c>
      <c r="E114" s="34">
        <v>3.5</v>
      </c>
      <c r="F114" s="34">
        <v>1</v>
      </c>
      <c r="G114" s="34">
        <v>1.3</v>
      </c>
      <c r="H114" s="34">
        <v>1.2</v>
      </c>
      <c r="I114" s="34">
        <v>0.01</v>
      </c>
      <c r="J114" s="34">
        <v>0.01</v>
      </c>
      <c r="K114" s="34">
        <v>2</v>
      </c>
      <c r="L114" s="34">
        <v>1450</v>
      </c>
      <c r="M114" s="34">
        <v>2E-3</v>
      </c>
      <c r="N114" s="34">
        <v>1.5</v>
      </c>
      <c r="O114" s="34">
        <v>14</v>
      </c>
      <c r="P114" s="34">
        <v>1</v>
      </c>
      <c r="Q114" s="34">
        <f>ROUND((W114/V114),0)</f>
        <v>860</v>
      </c>
      <c r="R114" s="28" t="s">
        <v>75</v>
      </c>
      <c r="S114" s="28">
        <v>2908</v>
      </c>
      <c r="T114" s="34">
        <f>ROUND((D114*E114*F114*K114*N114*L114*I114*J114/3600)+(G114*H114*I114*M114*O114*P114),4)</f>
        <v>1.1999999999999999E-3</v>
      </c>
      <c r="U114" s="34">
        <f>ROUND((((3.6*T114*Q114)/1000)),4)</f>
        <v>3.7000000000000002E-3</v>
      </c>
      <c r="V114" s="647">
        <v>20</v>
      </c>
      <c r="W114" s="647">
        <f>28650*0.6</f>
        <v>17190</v>
      </c>
      <c r="Y114" s="2"/>
      <c r="Z114" s="77"/>
    </row>
    <row r="115" spans="1:26" ht="25.5" x14ac:dyDescent="0.25">
      <c r="A115" s="866"/>
      <c r="B115" s="35" t="s">
        <v>73</v>
      </c>
      <c r="C115" s="862" t="s">
        <v>682</v>
      </c>
      <c r="D115" s="34">
        <v>1.3</v>
      </c>
      <c r="E115" s="34">
        <v>3.5</v>
      </c>
      <c r="F115" s="34">
        <v>1</v>
      </c>
      <c r="G115" s="34">
        <v>1.3</v>
      </c>
      <c r="H115" s="34">
        <v>1.2</v>
      </c>
      <c r="I115" s="34">
        <v>0.01</v>
      </c>
      <c r="J115" s="34">
        <v>0.01</v>
      </c>
      <c r="K115" s="34">
        <v>40</v>
      </c>
      <c r="L115" s="34">
        <v>1450</v>
      </c>
      <c r="M115" s="34">
        <v>2E-3</v>
      </c>
      <c r="N115" s="34">
        <v>1.5</v>
      </c>
      <c r="O115" s="34">
        <v>14</v>
      </c>
      <c r="P115" s="34">
        <v>3</v>
      </c>
      <c r="Q115" s="34">
        <f>ROUND((W115/V115),0)</f>
        <v>1029</v>
      </c>
      <c r="R115" s="28" t="s">
        <v>75</v>
      </c>
      <c r="S115" s="28">
        <v>2908</v>
      </c>
      <c r="T115" s="34">
        <f>ROUND((D115*E115*F115*K115*N115*L115*I115*J115/3600)+(G115*H115*I115*M115*O115*P115),4)</f>
        <v>1.23E-2</v>
      </c>
      <c r="U115" s="34">
        <f>ROUND((((3.6*T115*Q115)/1000)),4)</f>
        <v>4.5600000000000002E-2</v>
      </c>
      <c r="V115" s="9">
        <v>300</v>
      </c>
      <c r="W115" s="9">
        <f>771492*0.4</f>
        <v>308596.8</v>
      </c>
      <c r="Y115" s="2"/>
      <c r="Z115" s="77"/>
    </row>
    <row r="116" spans="1:26" ht="38.25" x14ac:dyDescent="0.25">
      <c r="A116" s="829"/>
      <c r="B116" s="35" t="s">
        <v>74</v>
      </c>
      <c r="C116" s="863"/>
      <c r="D116" s="34">
        <v>1.9</v>
      </c>
      <c r="E116" s="34">
        <v>3.5</v>
      </c>
      <c r="F116" s="34">
        <v>1</v>
      </c>
      <c r="G116" s="34">
        <v>1.3</v>
      </c>
      <c r="H116" s="34">
        <v>1.2</v>
      </c>
      <c r="I116" s="34">
        <v>0.01</v>
      </c>
      <c r="J116" s="34">
        <v>0.01</v>
      </c>
      <c r="K116" s="34">
        <v>27</v>
      </c>
      <c r="L116" s="34">
        <v>1450</v>
      </c>
      <c r="M116" s="34">
        <v>2E-3</v>
      </c>
      <c r="N116" s="34">
        <v>1.5</v>
      </c>
      <c r="O116" s="34">
        <v>14</v>
      </c>
      <c r="P116" s="34">
        <v>1</v>
      </c>
      <c r="Q116" s="34">
        <f>ROUND((W116/V116),0)</f>
        <v>1157</v>
      </c>
      <c r="R116" s="28" t="s">
        <v>75</v>
      </c>
      <c r="S116" s="28">
        <v>2908</v>
      </c>
      <c r="T116" s="34">
        <f>ROUND((D116*E116*F116*K116*N116*L116*I116*J116/3600)+(G116*H116*I116*M116*O116*P116),4)</f>
        <v>1.1299999999999999E-2</v>
      </c>
      <c r="U116" s="34">
        <f>ROUND((((3.6*T116*Q116)/1000)),4)</f>
        <v>4.7100000000000003E-2</v>
      </c>
      <c r="V116" s="9">
        <v>400</v>
      </c>
      <c r="W116" s="9">
        <f>771492*0.6</f>
        <v>462895.2</v>
      </c>
      <c r="Y116" s="2"/>
      <c r="Z116" s="77"/>
    </row>
    <row r="117" spans="1:26" ht="25.5" x14ac:dyDescent="0.25">
      <c r="A117" s="878" t="s">
        <v>489</v>
      </c>
      <c r="B117" s="879"/>
      <c r="C117" s="879"/>
      <c r="D117" s="879"/>
      <c r="E117" s="879"/>
      <c r="F117" s="879"/>
      <c r="G117" s="879"/>
      <c r="H117" s="879"/>
      <c r="I117" s="879"/>
      <c r="J117" s="879"/>
      <c r="K117" s="879"/>
      <c r="L117" s="879"/>
      <c r="M117" s="879"/>
      <c r="N117" s="879"/>
      <c r="O117" s="879"/>
      <c r="P117" s="879"/>
      <c r="Q117" s="880"/>
      <c r="R117" s="7" t="s">
        <v>75</v>
      </c>
      <c r="S117" s="7">
        <v>2908</v>
      </c>
      <c r="T117" s="8">
        <f>SUM(T113:T116)</f>
        <v>2.69E-2</v>
      </c>
      <c r="U117" s="8">
        <f>SUM(U113:U116)</f>
        <v>0.10070000000000001</v>
      </c>
      <c r="V117" s="697">
        <f>T117</f>
        <v>2.69E-2</v>
      </c>
      <c r="W117" s="698">
        <f>U117</f>
        <v>0.10070000000000001</v>
      </c>
      <c r="X117" s="705">
        <v>2042</v>
      </c>
      <c r="Y117" s="3"/>
    </row>
    <row r="118" spans="1:26" x14ac:dyDescent="0.25">
      <c r="A118" s="767" t="s">
        <v>114</v>
      </c>
      <c r="B118" s="768"/>
      <c r="C118" s="768"/>
      <c r="D118" s="768"/>
      <c r="E118" s="768"/>
      <c r="F118" s="768"/>
      <c r="G118" s="768"/>
      <c r="H118" s="768"/>
      <c r="I118" s="768"/>
      <c r="J118" s="768"/>
      <c r="K118" s="768"/>
      <c r="L118" s="768"/>
      <c r="M118" s="768"/>
      <c r="N118" s="768"/>
      <c r="O118" s="768"/>
      <c r="P118" s="768"/>
      <c r="Q118" s="768"/>
      <c r="R118" s="768"/>
      <c r="S118" s="768"/>
      <c r="T118" s="768"/>
      <c r="U118" s="769"/>
      <c r="V118" s="623"/>
      <c r="W118" s="623"/>
      <c r="Y118" s="3"/>
    </row>
    <row r="119" spans="1:26" x14ac:dyDescent="0.25">
      <c r="A119" s="767" t="s">
        <v>113</v>
      </c>
      <c r="B119" s="868"/>
      <c r="C119" s="868"/>
      <c r="D119" s="868"/>
      <c r="E119" s="868"/>
      <c r="F119" s="868"/>
      <c r="G119" s="868"/>
      <c r="H119" s="868"/>
      <c r="I119" s="868"/>
      <c r="J119" s="868"/>
      <c r="K119" s="868"/>
      <c r="L119" s="868"/>
      <c r="M119" s="868"/>
      <c r="N119" s="868"/>
      <c r="O119" s="868"/>
      <c r="P119" s="868"/>
      <c r="Q119" s="868"/>
      <c r="R119" s="868"/>
      <c r="S119" s="868"/>
      <c r="T119" s="868"/>
      <c r="U119" s="869"/>
      <c r="V119" s="623"/>
      <c r="W119" s="623"/>
      <c r="Y119" s="3"/>
    </row>
    <row r="120" spans="1:26" ht="25.5" x14ac:dyDescent="0.25">
      <c r="A120" s="870" t="s">
        <v>683</v>
      </c>
      <c r="B120" s="35" t="s">
        <v>73</v>
      </c>
      <c r="C120" s="862" t="s">
        <v>682</v>
      </c>
      <c r="D120" s="34">
        <v>1.3</v>
      </c>
      <c r="E120" s="34">
        <v>3.5</v>
      </c>
      <c r="F120" s="34">
        <v>1</v>
      </c>
      <c r="G120" s="34">
        <v>1.3</v>
      </c>
      <c r="H120" s="34">
        <v>1.2</v>
      </c>
      <c r="I120" s="34">
        <v>0.01</v>
      </c>
      <c r="J120" s="34">
        <v>0.01</v>
      </c>
      <c r="K120" s="34">
        <v>40</v>
      </c>
      <c r="L120" s="34">
        <v>1450</v>
      </c>
      <c r="M120" s="34">
        <v>2E-3</v>
      </c>
      <c r="N120" s="34">
        <v>1.5</v>
      </c>
      <c r="O120" s="34">
        <v>14</v>
      </c>
      <c r="P120" s="34">
        <v>6</v>
      </c>
      <c r="Q120" s="34">
        <f>ROUND((W120/V120),0)</f>
        <v>1286</v>
      </c>
      <c r="R120" s="28" t="s">
        <v>75</v>
      </c>
      <c r="S120" s="28">
        <v>2908</v>
      </c>
      <c r="T120" s="34">
        <f>ROUND((D120*E120*F120*K120*N120*L120*I120*J120/3600)+(G120*H120*I120*M120*O120*P120),4)</f>
        <v>1.3599999999999999E-2</v>
      </c>
      <c r="U120" s="34">
        <f>ROUND((((3.6*T120*Q120)/1000)),4)</f>
        <v>6.3E-2</v>
      </c>
      <c r="V120" s="9">
        <v>300</v>
      </c>
      <c r="W120" s="9">
        <f>964366*0.4</f>
        <v>385746.4</v>
      </c>
      <c r="Y120" s="3"/>
    </row>
    <row r="121" spans="1:26" ht="38.25" x14ac:dyDescent="0.25">
      <c r="A121" s="829"/>
      <c r="B121" s="35" t="s">
        <v>74</v>
      </c>
      <c r="C121" s="863"/>
      <c r="D121" s="34">
        <v>1.9</v>
      </c>
      <c r="E121" s="34">
        <v>3.5</v>
      </c>
      <c r="F121" s="34">
        <v>1</v>
      </c>
      <c r="G121" s="34">
        <v>1.3</v>
      </c>
      <c r="H121" s="34">
        <v>1.2</v>
      </c>
      <c r="I121" s="34">
        <v>0.01</v>
      </c>
      <c r="J121" s="34">
        <v>0.01</v>
      </c>
      <c r="K121" s="34">
        <v>27</v>
      </c>
      <c r="L121" s="34">
        <v>1450</v>
      </c>
      <c r="M121" s="34">
        <v>2E-3</v>
      </c>
      <c r="N121" s="34">
        <v>1.5</v>
      </c>
      <c r="O121" s="34">
        <v>14</v>
      </c>
      <c r="P121" s="34">
        <v>4</v>
      </c>
      <c r="Q121" s="34">
        <f>ROUND((W121/V121),0)</f>
        <v>1447</v>
      </c>
      <c r="R121" s="28" t="s">
        <v>75</v>
      </c>
      <c r="S121" s="28">
        <v>2908</v>
      </c>
      <c r="T121" s="34">
        <f>ROUND((D121*E121*F121*K121*N121*L121*I121*J121/3600)+(G121*H121*I121*M121*O121*P121),4)</f>
        <v>1.26E-2</v>
      </c>
      <c r="U121" s="34">
        <f>ROUND((((3.6*T121*Q121)/1000)),4)</f>
        <v>6.5600000000000006E-2</v>
      </c>
      <c r="V121" s="9">
        <v>400</v>
      </c>
      <c r="W121" s="9">
        <f>964366*0.6</f>
        <v>578619.6</v>
      </c>
      <c r="Y121" s="3"/>
    </row>
    <row r="122" spans="1:26" ht="25.5" x14ac:dyDescent="0.25">
      <c r="A122" s="878" t="s">
        <v>489</v>
      </c>
      <c r="B122" s="879"/>
      <c r="C122" s="879"/>
      <c r="D122" s="879"/>
      <c r="E122" s="879"/>
      <c r="F122" s="879"/>
      <c r="G122" s="879"/>
      <c r="H122" s="879"/>
      <c r="I122" s="879"/>
      <c r="J122" s="879"/>
      <c r="K122" s="879"/>
      <c r="L122" s="879"/>
      <c r="M122" s="879"/>
      <c r="N122" s="879"/>
      <c r="O122" s="879"/>
      <c r="P122" s="879"/>
      <c r="Q122" s="880"/>
      <c r="R122" s="7" t="s">
        <v>75</v>
      </c>
      <c r="S122" s="7">
        <v>2908</v>
      </c>
      <c r="T122" s="8">
        <f>SUM(T120:T121)</f>
        <v>2.6200000000000001E-2</v>
      </c>
      <c r="U122" s="8">
        <f>SUM(U120:U121)</f>
        <v>0.12859999999999999</v>
      </c>
      <c r="V122" s="697">
        <f>T122</f>
        <v>2.6200000000000001E-2</v>
      </c>
      <c r="W122" s="698">
        <f>U122</f>
        <v>0.12859999999999999</v>
      </c>
      <c r="X122" s="705">
        <v>2043</v>
      </c>
      <c r="Y122" s="3"/>
    </row>
    <row r="123" spans="1:26" ht="14.1" customHeight="1" x14ac:dyDescent="0.25">
      <c r="A123" s="767" t="s">
        <v>115</v>
      </c>
      <c r="B123" s="768"/>
      <c r="C123" s="768"/>
      <c r="D123" s="768"/>
      <c r="E123" s="768"/>
      <c r="F123" s="768"/>
      <c r="G123" s="768"/>
      <c r="H123" s="768"/>
      <c r="I123" s="768"/>
      <c r="J123" s="768"/>
      <c r="K123" s="768"/>
      <c r="L123" s="768"/>
      <c r="M123" s="768"/>
      <c r="N123" s="768"/>
      <c r="O123" s="768"/>
      <c r="P123" s="768"/>
      <c r="Q123" s="768"/>
      <c r="R123" s="768"/>
      <c r="S123" s="768"/>
      <c r="T123" s="768"/>
      <c r="U123" s="769"/>
      <c r="V123" s="623"/>
      <c r="W123" s="623"/>
    </row>
    <row r="124" spans="1:26" ht="14.1" customHeight="1" x14ac:dyDescent="0.25">
      <c r="A124" s="767" t="s">
        <v>113</v>
      </c>
      <c r="B124" s="868"/>
      <c r="C124" s="868"/>
      <c r="D124" s="868"/>
      <c r="E124" s="868"/>
      <c r="F124" s="868"/>
      <c r="G124" s="868"/>
      <c r="H124" s="868"/>
      <c r="I124" s="868"/>
      <c r="J124" s="868"/>
      <c r="K124" s="868"/>
      <c r="L124" s="868"/>
      <c r="M124" s="868"/>
      <c r="N124" s="868"/>
      <c r="O124" s="868"/>
      <c r="P124" s="868"/>
      <c r="Q124" s="868"/>
      <c r="R124" s="868"/>
      <c r="S124" s="868"/>
      <c r="T124" s="868"/>
      <c r="U124" s="869"/>
    </row>
    <row r="125" spans="1:26" ht="25.5" x14ac:dyDescent="0.25">
      <c r="A125" s="867">
        <v>8005</v>
      </c>
      <c r="B125" s="35" t="s">
        <v>73</v>
      </c>
      <c r="C125" s="862" t="s">
        <v>682</v>
      </c>
      <c r="D125" s="34">
        <v>1.3</v>
      </c>
      <c r="E125" s="34">
        <v>3.5</v>
      </c>
      <c r="F125" s="34">
        <v>1</v>
      </c>
      <c r="G125" s="34">
        <v>1.3</v>
      </c>
      <c r="H125" s="34">
        <v>1.2</v>
      </c>
      <c r="I125" s="34">
        <v>0.01</v>
      </c>
      <c r="J125" s="34">
        <v>0.01</v>
      </c>
      <c r="K125" s="34">
        <v>20</v>
      </c>
      <c r="L125" s="34">
        <v>1450</v>
      </c>
      <c r="M125" s="34">
        <v>2E-3</v>
      </c>
      <c r="N125" s="34">
        <v>1.5</v>
      </c>
      <c r="O125" s="34">
        <v>14</v>
      </c>
      <c r="P125" s="34">
        <v>5</v>
      </c>
      <c r="Q125" s="34">
        <f>ROUND((W125/V125),0)</f>
        <v>817</v>
      </c>
      <c r="R125" s="28" t="s">
        <v>75</v>
      </c>
      <c r="S125" s="28">
        <v>2908</v>
      </c>
      <c r="T125" s="34">
        <f>ROUND((D125*E125*F125*K125*N125*L125*I125*J125/3600)+(G125*H125*I125*M125*O125*P125),4)</f>
        <v>7.7000000000000002E-3</v>
      </c>
      <c r="U125" s="34">
        <f>ROUND((((3.6*T125*Q125)/1000)),4)</f>
        <v>2.2599999999999999E-2</v>
      </c>
      <c r="V125" s="9">
        <v>150</v>
      </c>
      <c r="W125" s="9">
        <f>306256*0.4</f>
        <v>122502.40000000001</v>
      </c>
      <c r="Z125" s="77"/>
    </row>
    <row r="126" spans="1:26" ht="38.25" x14ac:dyDescent="0.25">
      <c r="A126" s="847"/>
      <c r="B126" s="35" t="s">
        <v>74</v>
      </c>
      <c r="C126" s="863"/>
      <c r="D126" s="34">
        <v>1.9</v>
      </c>
      <c r="E126" s="34">
        <v>3.5</v>
      </c>
      <c r="F126" s="34">
        <v>1</v>
      </c>
      <c r="G126" s="34">
        <v>1.3</v>
      </c>
      <c r="H126" s="34">
        <v>1.2</v>
      </c>
      <c r="I126" s="34">
        <v>0.01</v>
      </c>
      <c r="J126" s="34">
        <v>0.01</v>
      </c>
      <c r="K126" s="34">
        <v>14</v>
      </c>
      <c r="L126" s="34">
        <v>1450</v>
      </c>
      <c r="M126" s="34">
        <v>2E-3</v>
      </c>
      <c r="N126" s="34">
        <v>1.5</v>
      </c>
      <c r="O126" s="34">
        <v>14</v>
      </c>
      <c r="P126" s="34">
        <v>3</v>
      </c>
      <c r="Q126" s="34">
        <f>ROUND((W126/V126),0)</f>
        <v>919</v>
      </c>
      <c r="R126" s="28" t="s">
        <v>75</v>
      </c>
      <c r="S126" s="28">
        <v>2908</v>
      </c>
      <c r="T126" s="34">
        <f>ROUND((D126*E126*F126*K126*N126*L126*I126*J126/3600)+(G126*H126*I126*M126*O126*P126),4)</f>
        <v>6.8999999999999999E-3</v>
      </c>
      <c r="U126" s="34">
        <f>ROUND((((3.6*T126*Q126)/1000)),4)</f>
        <v>2.2800000000000001E-2</v>
      </c>
      <c r="V126" s="9">
        <v>200</v>
      </c>
      <c r="W126" s="9">
        <f>306256*0.6</f>
        <v>183753.60000000001</v>
      </c>
      <c r="Z126" s="77"/>
    </row>
    <row r="127" spans="1:26" ht="25.5" x14ac:dyDescent="0.25">
      <c r="A127" s="847"/>
      <c r="B127" s="35" t="s">
        <v>73</v>
      </c>
      <c r="C127" s="862" t="s">
        <v>279</v>
      </c>
      <c r="D127" s="34">
        <v>1.3</v>
      </c>
      <c r="E127" s="34">
        <v>3.5</v>
      </c>
      <c r="F127" s="34">
        <v>1</v>
      </c>
      <c r="G127" s="34">
        <v>1.3</v>
      </c>
      <c r="H127" s="34">
        <v>1.2</v>
      </c>
      <c r="I127" s="34">
        <v>0.01</v>
      </c>
      <c r="J127" s="34">
        <v>0.01</v>
      </c>
      <c r="K127" s="34">
        <v>4</v>
      </c>
      <c r="L127" s="34">
        <v>1450</v>
      </c>
      <c r="M127" s="34">
        <v>2E-3</v>
      </c>
      <c r="N127" s="34">
        <v>1.5</v>
      </c>
      <c r="O127" s="34">
        <v>14</v>
      </c>
      <c r="P127" s="34">
        <v>2</v>
      </c>
      <c r="Q127" s="34">
        <f>ROUND((W127/V127),0)</f>
        <v>500</v>
      </c>
      <c r="R127" s="28" t="s">
        <v>75</v>
      </c>
      <c r="S127" s="28">
        <v>2908</v>
      </c>
      <c r="T127" s="34">
        <f>ROUND((D127*E127*F127*K127*N127*L127*I127*J127/3600)+(G127*H127*I127*M127*O127*P127),4)</f>
        <v>2E-3</v>
      </c>
      <c r="U127" s="34">
        <f>ROUND((((3.6*T127*Q127)/1000)),4)</f>
        <v>3.5999999999999999E-3</v>
      </c>
      <c r="V127" s="9">
        <v>30</v>
      </c>
      <c r="W127" s="9">
        <f>37475*0.4</f>
        <v>14990</v>
      </c>
    </row>
    <row r="128" spans="1:26" ht="38.25" x14ac:dyDescent="0.25">
      <c r="A128" s="847"/>
      <c r="B128" s="35" t="s">
        <v>74</v>
      </c>
      <c r="C128" s="863"/>
      <c r="D128" s="34">
        <v>1.9</v>
      </c>
      <c r="E128" s="34">
        <v>3.5</v>
      </c>
      <c r="F128" s="34">
        <v>1</v>
      </c>
      <c r="G128" s="34">
        <v>1.3</v>
      </c>
      <c r="H128" s="34">
        <v>1.2</v>
      </c>
      <c r="I128" s="34">
        <v>0.01</v>
      </c>
      <c r="J128" s="34">
        <v>0.01</v>
      </c>
      <c r="K128" s="34">
        <v>3</v>
      </c>
      <c r="L128" s="34">
        <v>1450</v>
      </c>
      <c r="M128" s="34">
        <v>2E-3</v>
      </c>
      <c r="N128" s="34">
        <v>1.5</v>
      </c>
      <c r="O128" s="34">
        <v>14</v>
      </c>
      <c r="P128" s="34">
        <v>2</v>
      </c>
      <c r="Q128" s="34">
        <f>ROUND((W128/V128),0)</f>
        <v>562</v>
      </c>
      <c r="R128" s="28" t="s">
        <v>75</v>
      </c>
      <c r="S128" s="28">
        <v>2908</v>
      </c>
      <c r="T128" s="34">
        <f>ROUND((D128*E128*F128*K128*N128*L128*I128*J128/3600)+(G128*H128*I128*M128*O128*P128),4)</f>
        <v>2.0999999999999999E-3</v>
      </c>
      <c r="U128" s="34">
        <f>ROUND((((3.6*T128*Q128)/1000)),4)</f>
        <v>4.1999999999999997E-3</v>
      </c>
      <c r="V128" s="9">
        <v>40</v>
      </c>
      <c r="W128" s="9">
        <f>37475*0.6</f>
        <v>22485</v>
      </c>
    </row>
    <row r="129" spans="1:26" ht="25.5" x14ac:dyDescent="0.25">
      <c r="A129" s="873" t="s">
        <v>489</v>
      </c>
      <c r="B129" s="874"/>
      <c r="C129" s="874"/>
      <c r="D129" s="874"/>
      <c r="E129" s="874"/>
      <c r="F129" s="874"/>
      <c r="G129" s="874"/>
      <c r="H129" s="874"/>
      <c r="I129" s="874"/>
      <c r="J129" s="874"/>
      <c r="K129" s="874"/>
      <c r="L129" s="874"/>
      <c r="M129" s="874"/>
      <c r="N129" s="874"/>
      <c r="O129" s="874"/>
      <c r="P129" s="874"/>
      <c r="Q129" s="875"/>
      <c r="R129" s="29" t="s">
        <v>75</v>
      </c>
      <c r="S129" s="29">
        <v>2908</v>
      </c>
      <c r="T129" s="36">
        <f>T125+T126+T127+T128</f>
        <v>1.8700000000000001E-2</v>
      </c>
      <c r="U129" s="36">
        <f>U125+U126+U127+U128</f>
        <v>5.3199999999999997E-2</v>
      </c>
      <c r="V129" s="697">
        <f>T129</f>
        <v>1.8700000000000001E-2</v>
      </c>
      <c r="W129" s="698">
        <f>U129</f>
        <v>5.3199999999999997E-2</v>
      </c>
      <c r="X129" s="705">
        <v>2044</v>
      </c>
      <c r="Y129" s="3"/>
    </row>
    <row r="130" spans="1:26" ht="14.1" customHeight="1" x14ac:dyDescent="0.25">
      <c r="A130" s="781" t="s">
        <v>119</v>
      </c>
      <c r="B130" s="782"/>
      <c r="C130" s="782"/>
      <c r="D130" s="782"/>
      <c r="E130" s="782"/>
      <c r="F130" s="782"/>
      <c r="G130" s="782"/>
      <c r="H130" s="782"/>
      <c r="I130" s="782"/>
      <c r="J130" s="782"/>
      <c r="K130" s="782"/>
      <c r="L130" s="782"/>
      <c r="M130" s="782"/>
      <c r="N130" s="782"/>
      <c r="O130" s="782"/>
      <c r="P130" s="782"/>
      <c r="Q130" s="782"/>
      <c r="R130" s="782"/>
      <c r="S130" s="782"/>
      <c r="T130" s="782"/>
      <c r="U130" s="783"/>
    </row>
    <row r="131" spans="1:26" ht="14.1" customHeight="1" x14ac:dyDescent="0.25">
      <c r="A131" s="781" t="s">
        <v>120</v>
      </c>
      <c r="B131" s="876"/>
      <c r="C131" s="876"/>
      <c r="D131" s="876"/>
      <c r="E131" s="876"/>
      <c r="F131" s="876"/>
      <c r="G131" s="876"/>
      <c r="H131" s="876"/>
      <c r="I131" s="876"/>
      <c r="J131" s="876"/>
      <c r="K131" s="876"/>
      <c r="L131" s="876"/>
      <c r="M131" s="876"/>
      <c r="N131" s="876"/>
      <c r="O131" s="876"/>
      <c r="P131" s="876"/>
      <c r="Q131" s="876"/>
      <c r="R131" s="876"/>
      <c r="S131" s="876"/>
      <c r="T131" s="876"/>
      <c r="U131" s="877"/>
    </row>
    <row r="132" spans="1:26" ht="25.5" x14ac:dyDescent="0.25">
      <c r="A132" s="864">
        <v>8005</v>
      </c>
      <c r="B132" s="649" t="s">
        <v>73</v>
      </c>
      <c r="C132" s="788" t="s">
        <v>276</v>
      </c>
      <c r="D132" s="6">
        <v>1.3</v>
      </c>
      <c r="E132" s="6">
        <v>3.5</v>
      </c>
      <c r="F132" s="6">
        <v>1</v>
      </c>
      <c r="G132" s="6">
        <v>1.3</v>
      </c>
      <c r="H132" s="6">
        <v>1.2</v>
      </c>
      <c r="I132" s="6">
        <v>0.01</v>
      </c>
      <c r="J132" s="6">
        <v>0.01</v>
      </c>
      <c r="K132" s="6">
        <v>3</v>
      </c>
      <c r="L132" s="6">
        <v>1450</v>
      </c>
      <c r="M132" s="6">
        <v>2E-3</v>
      </c>
      <c r="N132" s="6">
        <v>1.5</v>
      </c>
      <c r="O132" s="6">
        <v>14</v>
      </c>
      <c r="P132" s="6">
        <v>2</v>
      </c>
      <c r="Q132" s="6">
        <f>ROUND((W132/V132),0)</f>
        <v>737</v>
      </c>
      <c r="R132" s="1" t="s">
        <v>75</v>
      </c>
      <c r="S132" s="1">
        <v>2908</v>
      </c>
      <c r="T132" s="6">
        <f>ROUND((D132*E132*F132*K132*N132*L132*I132*J132/3600)+(G132*H132*I132*M132*O132*P132),4)</f>
        <v>1.6999999999999999E-3</v>
      </c>
      <c r="U132" s="6">
        <f>ROUND((((3.6*T132*Q132)/1000)),4)</f>
        <v>4.4999999999999997E-3</v>
      </c>
      <c r="V132" s="647">
        <v>20</v>
      </c>
      <c r="W132" s="647">
        <f>36870*0.4</f>
        <v>14748</v>
      </c>
      <c r="Y132" s="2"/>
      <c r="Z132" s="77"/>
    </row>
    <row r="133" spans="1:26" ht="38.25" x14ac:dyDescent="0.25">
      <c r="A133" s="865"/>
      <c r="B133" s="649" t="s">
        <v>74</v>
      </c>
      <c r="C133" s="787"/>
      <c r="D133" s="6">
        <v>1.9</v>
      </c>
      <c r="E133" s="6">
        <v>3.5</v>
      </c>
      <c r="F133" s="6">
        <v>1</v>
      </c>
      <c r="G133" s="6">
        <v>1.3</v>
      </c>
      <c r="H133" s="6">
        <v>1.2</v>
      </c>
      <c r="I133" s="6">
        <v>0.01</v>
      </c>
      <c r="J133" s="6">
        <v>0.01</v>
      </c>
      <c r="K133" s="6">
        <v>2</v>
      </c>
      <c r="L133" s="6">
        <v>1450</v>
      </c>
      <c r="M133" s="6">
        <v>2E-3</v>
      </c>
      <c r="N133" s="6">
        <v>1.5</v>
      </c>
      <c r="O133" s="6">
        <v>14</v>
      </c>
      <c r="P133" s="6">
        <v>1</v>
      </c>
      <c r="Q133" s="6">
        <f>ROUND((W133/V133),0)</f>
        <v>737</v>
      </c>
      <c r="R133" s="1" t="s">
        <v>75</v>
      </c>
      <c r="S133" s="1">
        <v>2908</v>
      </c>
      <c r="T133" s="6">
        <f>ROUND((D133*E133*F133*K133*N133*L133*I133*J133/3600)+(G133*H133*I133*M133*O133*P133),4)</f>
        <v>1.1999999999999999E-3</v>
      </c>
      <c r="U133" s="6">
        <f>ROUND((((3.6*T133*Q133)/1000)),4)</f>
        <v>3.2000000000000002E-3</v>
      </c>
      <c r="V133" s="647">
        <v>30</v>
      </c>
      <c r="W133" s="647">
        <f>36870*0.6</f>
        <v>22122</v>
      </c>
      <c r="Y133" s="2"/>
      <c r="Z133" s="77"/>
    </row>
    <row r="134" spans="1:26" ht="25.5" x14ac:dyDescent="0.25">
      <c r="A134" s="866"/>
      <c r="B134" s="35" t="s">
        <v>73</v>
      </c>
      <c r="C134" s="862" t="s">
        <v>682</v>
      </c>
      <c r="D134" s="34">
        <v>1.3</v>
      </c>
      <c r="E134" s="34">
        <v>3.5</v>
      </c>
      <c r="F134" s="34">
        <v>1</v>
      </c>
      <c r="G134" s="34">
        <v>1.3</v>
      </c>
      <c r="H134" s="34">
        <v>1.2</v>
      </c>
      <c r="I134" s="34">
        <v>0.01</v>
      </c>
      <c r="J134" s="34">
        <v>0.01</v>
      </c>
      <c r="K134" s="34">
        <v>60</v>
      </c>
      <c r="L134" s="34">
        <v>1450</v>
      </c>
      <c r="M134" s="34">
        <v>2E-3</v>
      </c>
      <c r="N134" s="34">
        <v>1.5</v>
      </c>
      <c r="O134" s="34">
        <v>14</v>
      </c>
      <c r="P134" s="34">
        <v>2</v>
      </c>
      <c r="Q134" s="34">
        <f>ROUND((W134/V134),0)</f>
        <v>843</v>
      </c>
      <c r="R134" s="28" t="s">
        <v>75</v>
      </c>
      <c r="S134" s="28">
        <v>2908</v>
      </c>
      <c r="T134" s="34">
        <f>ROUND((D134*E134*F134*K134*N134*L134*I134*J134/3600)+(G134*H134*I134*M134*O134*P134),4)</f>
        <v>1.7399999999999999E-2</v>
      </c>
      <c r="U134" s="34">
        <f>ROUND((((3.6*T134*Q134)/1000)),4)</f>
        <v>5.28E-2</v>
      </c>
      <c r="V134" s="9">
        <v>450</v>
      </c>
      <c r="W134" s="9">
        <f>948273.3*0.4</f>
        <v>379309.32000000007</v>
      </c>
      <c r="Y134" s="2"/>
      <c r="Z134" s="77"/>
    </row>
    <row r="135" spans="1:26" ht="38.25" x14ac:dyDescent="0.25">
      <c r="A135" s="829"/>
      <c r="B135" s="35" t="s">
        <v>74</v>
      </c>
      <c r="C135" s="863"/>
      <c r="D135" s="34">
        <v>1.9</v>
      </c>
      <c r="E135" s="34">
        <v>3.5</v>
      </c>
      <c r="F135" s="34">
        <v>1</v>
      </c>
      <c r="G135" s="34">
        <v>1.3</v>
      </c>
      <c r="H135" s="34">
        <v>1.2</v>
      </c>
      <c r="I135" s="34">
        <v>0.01</v>
      </c>
      <c r="J135" s="34">
        <v>0.01</v>
      </c>
      <c r="K135" s="34">
        <v>37</v>
      </c>
      <c r="L135" s="34">
        <v>1450</v>
      </c>
      <c r="M135" s="34">
        <v>2E-3</v>
      </c>
      <c r="N135" s="34">
        <v>1.5</v>
      </c>
      <c r="O135" s="34">
        <v>14</v>
      </c>
      <c r="P135" s="34">
        <v>2</v>
      </c>
      <c r="Q135" s="34">
        <f>ROUND((W135/V135),0)</f>
        <v>1034</v>
      </c>
      <c r="R135" s="28" t="s">
        <v>75</v>
      </c>
      <c r="S135" s="28">
        <v>2908</v>
      </c>
      <c r="T135" s="34">
        <f>ROUND((D135*E135*F135*K135*N135*L135*I135*J135/3600)+(G135*H135*I135*M135*O135*P135),4)</f>
        <v>1.5699999999999999E-2</v>
      </c>
      <c r="U135" s="34">
        <f>ROUND((((3.6*T135*Q135)/1000)),4)</f>
        <v>5.8400000000000001E-2</v>
      </c>
      <c r="V135" s="9">
        <v>550</v>
      </c>
      <c r="W135" s="9">
        <f>948273.3*0.6</f>
        <v>568963.98</v>
      </c>
      <c r="Y135" s="2"/>
      <c r="Z135" s="77"/>
    </row>
    <row r="136" spans="1:26" ht="25.5" x14ac:dyDescent="0.25">
      <c r="A136" s="878" t="s">
        <v>489</v>
      </c>
      <c r="B136" s="879"/>
      <c r="C136" s="879"/>
      <c r="D136" s="879"/>
      <c r="E136" s="879"/>
      <c r="F136" s="879"/>
      <c r="G136" s="879"/>
      <c r="H136" s="879"/>
      <c r="I136" s="879"/>
      <c r="J136" s="879"/>
      <c r="K136" s="879"/>
      <c r="L136" s="879"/>
      <c r="M136" s="879"/>
      <c r="N136" s="879"/>
      <c r="O136" s="879"/>
      <c r="P136" s="879"/>
      <c r="Q136" s="880"/>
      <c r="R136" s="7" t="s">
        <v>75</v>
      </c>
      <c r="S136" s="7">
        <v>2908</v>
      </c>
      <c r="T136" s="8">
        <f>SUM(T132:T135)</f>
        <v>3.5999999999999997E-2</v>
      </c>
      <c r="U136" s="8">
        <f>SUM(U132:U135)</f>
        <v>0.11890000000000001</v>
      </c>
      <c r="V136" s="697">
        <f>T136</f>
        <v>3.5999999999999997E-2</v>
      </c>
      <c r="W136" s="698">
        <f>U136</f>
        <v>0.11890000000000001</v>
      </c>
      <c r="X136" s="705">
        <v>2048</v>
      </c>
      <c r="Y136" s="3"/>
    </row>
    <row r="137" spans="1:26" ht="14.1" customHeight="1" x14ac:dyDescent="0.25">
      <c r="A137" s="781" t="s">
        <v>121</v>
      </c>
      <c r="B137" s="782"/>
      <c r="C137" s="782"/>
      <c r="D137" s="782"/>
      <c r="E137" s="782"/>
      <c r="F137" s="782"/>
      <c r="G137" s="782"/>
      <c r="H137" s="782"/>
      <c r="I137" s="782"/>
      <c r="J137" s="782"/>
      <c r="K137" s="782"/>
      <c r="L137" s="782"/>
      <c r="M137" s="782"/>
      <c r="N137" s="782"/>
      <c r="O137" s="782"/>
      <c r="P137" s="782"/>
      <c r="Q137" s="782"/>
      <c r="R137" s="782"/>
      <c r="S137" s="782"/>
      <c r="T137" s="782"/>
      <c r="U137" s="783"/>
      <c r="V137" s="623"/>
      <c r="W137" s="623"/>
      <c r="Y137" s="3"/>
    </row>
    <row r="138" spans="1:26" ht="14.1" customHeight="1" x14ac:dyDescent="0.25">
      <c r="A138" s="781" t="s">
        <v>120</v>
      </c>
      <c r="B138" s="876"/>
      <c r="C138" s="876"/>
      <c r="D138" s="876"/>
      <c r="E138" s="876"/>
      <c r="F138" s="876"/>
      <c r="G138" s="876"/>
      <c r="H138" s="876"/>
      <c r="I138" s="876"/>
      <c r="J138" s="876"/>
      <c r="K138" s="876"/>
      <c r="L138" s="876"/>
      <c r="M138" s="876"/>
      <c r="N138" s="876"/>
      <c r="O138" s="876"/>
      <c r="P138" s="876"/>
      <c r="Q138" s="876"/>
      <c r="R138" s="876"/>
      <c r="S138" s="876"/>
      <c r="T138" s="876"/>
      <c r="U138" s="877"/>
      <c r="V138" s="623"/>
      <c r="W138" s="623"/>
      <c r="Y138" s="3"/>
    </row>
    <row r="139" spans="1:26" ht="25.5" x14ac:dyDescent="0.25">
      <c r="A139" s="885" t="s">
        <v>683</v>
      </c>
      <c r="B139" s="35" t="s">
        <v>73</v>
      </c>
      <c r="C139" s="862" t="s">
        <v>682</v>
      </c>
      <c r="D139" s="34">
        <v>1.3</v>
      </c>
      <c r="E139" s="34">
        <v>3.5</v>
      </c>
      <c r="F139" s="34">
        <v>1</v>
      </c>
      <c r="G139" s="34">
        <v>1.3</v>
      </c>
      <c r="H139" s="34">
        <v>1.2</v>
      </c>
      <c r="I139" s="34">
        <v>0.01</v>
      </c>
      <c r="J139" s="34">
        <v>0.01</v>
      </c>
      <c r="K139" s="34">
        <v>40</v>
      </c>
      <c r="L139" s="34">
        <v>1450</v>
      </c>
      <c r="M139" s="34">
        <v>2E-3</v>
      </c>
      <c r="N139" s="34">
        <v>1.5</v>
      </c>
      <c r="O139" s="34">
        <v>14</v>
      </c>
      <c r="P139" s="34">
        <v>8</v>
      </c>
      <c r="Q139" s="34">
        <f>ROUND((W139/V139),0)</f>
        <v>1264</v>
      </c>
      <c r="R139" s="28" t="s">
        <v>75</v>
      </c>
      <c r="S139" s="28">
        <v>2908</v>
      </c>
      <c r="T139" s="34">
        <f>ROUND((D139*E139*F139*K139*N139*L139*I139*J139/3600)+(G139*H139*I139*M139*O139*P139),4)</f>
        <v>1.4500000000000001E-2</v>
      </c>
      <c r="U139" s="34">
        <f>ROUND((((3.6*T139*Q139)/1000)),4)</f>
        <v>6.6000000000000003E-2</v>
      </c>
      <c r="V139" s="9">
        <v>300</v>
      </c>
      <c r="W139" s="9">
        <f>948273.3*0.4</f>
        <v>379309.32000000007</v>
      </c>
      <c r="Y139" s="3"/>
    </row>
    <row r="140" spans="1:26" ht="38.25" x14ac:dyDescent="0.25">
      <c r="A140" s="829"/>
      <c r="B140" s="35" t="s">
        <v>74</v>
      </c>
      <c r="C140" s="863"/>
      <c r="D140" s="34">
        <v>1.9</v>
      </c>
      <c r="E140" s="34">
        <v>3.5</v>
      </c>
      <c r="F140" s="34">
        <v>1</v>
      </c>
      <c r="G140" s="34">
        <v>1.3</v>
      </c>
      <c r="H140" s="34">
        <v>1.2</v>
      </c>
      <c r="I140" s="34">
        <v>0.01</v>
      </c>
      <c r="J140" s="34">
        <v>0.01</v>
      </c>
      <c r="K140" s="34">
        <v>27</v>
      </c>
      <c r="L140" s="34">
        <v>1450</v>
      </c>
      <c r="M140" s="34">
        <v>2E-3</v>
      </c>
      <c r="N140" s="34">
        <v>1.5</v>
      </c>
      <c r="O140" s="34">
        <v>14</v>
      </c>
      <c r="P140" s="34">
        <v>6</v>
      </c>
      <c r="Q140" s="34">
        <f>ROUND((W140/V140),0)</f>
        <v>1422</v>
      </c>
      <c r="R140" s="28" t="s">
        <v>75</v>
      </c>
      <c r="S140" s="28">
        <v>2908</v>
      </c>
      <c r="T140" s="34">
        <f>ROUND((D140*E140*F140*K140*N140*L140*I140*J140/3600)+(G140*H140*I140*M140*O140*P140),4)</f>
        <v>1.35E-2</v>
      </c>
      <c r="U140" s="34">
        <f>ROUND((((3.6*T140*Q140)/1000)),4)</f>
        <v>6.9099999999999995E-2</v>
      </c>
      <c r="V140" s="9">
        <v>400</v>
      </c>
      <c r="W140" s="9">
        <f>948273.3*0.6</f>
        <v>568963.98</v>
      </c>
      <c r="Y140" s="3"/>
    </row>
    <row r="141" spans="1:26" ht="25.5" x14ac:dyDescent="0.25">
      <c r="A141" s="873" t="s">
        <v>489</v>
      </c>
      <c r="B141" s="874"/>
      <c r="C141" s="874"/>
      <c r="D141" s="874"/>
      <c r="E141" s="874"/>
      <c r="F141" s="874"/>
      <c r="G141" s="874"/>
      <c r="H141" s="874"/>
      <c r="I141" s="874"/>
      <c r="J141" s="874"/>
      <c r="K141" s="874"/>
      <c r="L141" s="874"/>
      <c r="M141" s="874"/>
      <c r="N141" s="874"/>
      <c r="O141" s="874"/>
      <c r="P141" s="874"/>
      <c r="Q141" s="875"/>
      <c r="R141" s="29" t="s">
        <v>75</v>
      </c>
      <c r="S141" s="29">
        <v>2908</v>
      </c>
      <c r="T141" s="36">
        <f>SUM(T139:T140)</f>
        <v>2.8000000000000001E-2</v>
      </c>
      <c r="U141" s="36">
        <f>SUM(U139:U140)</f>
        <v>0.1351</v>
      </c>
      <c r="V141" s="697">
        <f>T141</f>
        <v>2.8000000000000001E-2</v>
      </c>
      <c r="W141" s="698">
        <f>U141</f>
        <v>0.1351</v>
      </c>
      <c r="X141" s="705">
        <v>2049</v>
      </c>
      <c r="Y141" s="3"/>
    </row>
    <row r="142" spans="1:26" ht="14.1" customHeight="1" x14ac:dyDescent="0.25">
      <c r="A142" s="767" t="s">
        <v>122</v>
      </c>
      <c r="B142" s="768"/>
      <c r="C142" s="768"/>
      <c r="D142" s="768"/>
      <c r="E142" s="768"/>
      <c r="F142" s="768"/>
      <c r="G142" s="768"/>
      <c r="H142" s="768"/>
      <c r="I142" s="768"/>
      <c r="J142" s="768"/>
      <c r="K142" s="768"/>
      <c r="L142" s="768"/>
      <c r="M142" s="768"/>
      <c r="N142" s="768"/>
      <c r="O142" s="768"/>
      <c r="P142" s="768"/>
      <c r="Q142" s="768"/>
      <c r="R142" s="768"/>
      <c r="S142" s="768"/>
      <c r="T142" s="768"/>
      <c r="U142" s="769"/>
      <c r="V142" s="623"/>
      <c r="W142" s="623"/>
    </row>
    <row r="143" spans="1:26" ht="14.1" customHeight="1" x14ac:dyDescent="0.25">
      <c r="A143" s="767" t="s">
        <v>120</v>
      </c>
      <c r="B143" s="868"/>
      <c r="C143" s="868"/>
      <c r="D143" s="868"/>
      <c r="E143" s="868"/>
      <c r="F143" s="868"/>
      <c r="G143" s="868"/>
      <c r="H143" s="868"/>
      <c r="I143" s="868"/>
      <c r="J143" s="868"/>
      <c r="K143" s="868"/>
      <c r="L143" s="868"/>
      <c r="M143" s="868"/>
      <c r="N143" s="868"/>
      <c r="O143" s="868"/>
      <c r="P143" s="868"/>
      <c r="Q143" s="868"/>
      <c r="R143" s="868"/>
      <c r="S143" s="868"/>
      <c r="T143" s="868"/>
      <c r="U143" s="869"/>
    </row>
    <row r="144" spans="1:26" ht="25.5" x14ac:dyDescent="0.25">
      <c r="A144" s="864">
        <v>8005</v>
      </c>
      <c r="B144" s="5" t="s">
        <v>73</v>
      </c>
      <c r="C144" s="862" t="s">
        <v>682</v>
      </c>
      <c r="D144" s="6">
        <v>1.3</v>
      </c>
      <c r="E144" s="6">
        <v>3.5</v>
      </c>
      <c r="F144" s="6">
        <v>1</v>
      </c>
      <c r="G144" s="6">
        <v>1.3</v>
      </c>
      <c r="H144" s="6">
        <v>1.2</v>
      </c>
      <c r="I144" s="34">
        <v>0.01</v>
      </c>
      <c r="J144" s="6">
        <v>0.01</v>
      </c>
      <c r="K144" s="34">
        <v>40</v>
      </c>
      <c r="L144" s="6">
        <v>1450</v>
      </c>
      <c r="M144" s="6">
        <v>2E-3</v>
      </c>
      <c r="N144" s="6">
        <v>1.5</v>
      </c>
      <c r="O144" s="6">
        <v>14</v>
      </c>
      <c r="P144" s="6">
        <v>3</v>
      </c>
      <c r="Q144" s="6">
        <f t="shared" ref="Q144:Q147" si="15">ROUND((W144/V144),0)</f>
        <v>927</v>
      </c>
      <c r="R144" s="1" t="s">
        <v>75</v>
      </c>
      <c r="S144" s="1">
        <v>2908</v>
      </c>
      <c r="T144" s="6">
        <f t="shared" ref="T144:T147" si="16">ROUND((D144*E144*F144*K144*N144*L144*I144*J144/3600)+(G144*H144*I144*M144*O144*P144),4)</f>
        <v>1.23E-2</v>
      </c>
      <c r="U144" s="6">
        <f t="shared" ref="U144:U147" si="17">ROUND((((3.6*T144*Q144)/1000)),4)</f>
        <v>4.1000000000000002E-2</v>
      </c>
      <c r="V144" s="9">
        <v>300</v>
      </c>
      <c r="W144" s="9">
        <f>695253.8*0.4</f>
        <v>278101.52</v>
      </c>
      <c r="Y144" s="2"/>
      <c r="Z144" s="77"/>
    </row>
    <row r="145" spans="1:27" ht="38.25" x14ac:dyDescent="0.25">
      <c r="A145" s="865"/>
      <c r="B145" s="5" t="s">
        <v>74</v>
      </c>
      <c r="C145" s="863"/>
      <c r="D145" s="6">
        <v>1.9</v>
      </c>
      <c r="E145" s="6">
        <v>3.5</v>
      </c>
      <c r="F145" s="6">
        <v>1</v>
      </c>
      <c r="G145" s="6">
        <v>1.3</v>
      </c>
      <c r="H145" s="6">
        <v>1.2</v>
      </c>
      <c r="I145" s="34">
        <v>0.01</v>
      </c>
      <c r="J145" s="6">
        <v>0.01</v>
      </c>
      <c r="K145" s="34">
        <v>27</v>
      </c>
      <c r="L145" s="6">
        <v>1450</v>
      </c>
      <c r="M145" s="6">
        <v>2E-3</v>
      </c>
      <c r="N145" s="6">
        <v>1.5</v>
      </c>
      <c r="O145" s="6">
        <v>14</v>
      </c>
      <c r="P145" s="6">
        <v>2</v>
      </c>
      <c r="Q145" s="6">
        <f t="shared" si="15"/>
        <v>1043</v>
      </c>
      <c r="R145" s="1" t="s">
        <v>75</v>
      </c>
      <c r="S145" s="1">
        <v>2908</v>
      </c>
      <c r="T145" s="6">
        <f t="shared" si="16"/>
        <v>1.17E-2</v>
      </c>
      <c r="U145" s="6">
        <f t="shared" si="17"/>
        <v>4.3900000000000002E-2</v>
      </c>
      <c r="V145" s="9">
        <v>400</v>
      </c>
      <c r="W145" s="9">
        <f>695253.8*0.6</f>
        <v>417152.28</v>
      </c>
      <c r="Y145" s="2"/>
      <c r="Z145" s="77"/>
    </row>
    <row r="146" spans="1:27" ht="25.5" x14ac:dyDescent="0.25">
      <c r="A146" s="865"/>
      <c r="B146" s="5" t="s">
        <v>73</v>
      </c>
      <c r="C146" s="871" t="s">
        <v>279</v>
      </c>
      <c r="D146" s="6">
        <v>1.3</v>
      </c>
      <c r="E146" s="6">
        <v>3.5</v>
      </c>
      <c r="F146" s="6">
        <v>1</v>
      </c>
      <c r="G146" s="6">
        <v>1.3</v>
      </c>
      <c r="H146" s="6">
        <v>1.2</v>
      </c>
      <c r="I146" s="6">
        <v>0.01</v>
      </c>
      <c r="J146" s="6">
        <v>0.01</v>
      </c>
      <c r="K146" s="6">
        <v>4</v>
      </c>
      <c r="L146" s="6">
        <v>1450</v>
      </c>
      <c r="M146" s="6">
        <v>2E-3</v>
      </c>
      <c r="N146" s="6">
        <v>1.5</v>
      </c>
      <c r="O146" s="6">
        <v>14</v>
      </c>
      <c r="P146" s="6">
        <v>1</v>
      </c>
      <c r="Q146" s="6">
        <f t="shared" si="15"/>
        <v>472</v>
      </c>
      <c r="R146" s="1" t="s">
        <v>75</v>
      </c>
      <c r="S146" s="1">
        <v>2908</v>
      </c>
      <c r="T146" s="6">
        <f t="shared" si="16"/>
        <v>1.5E-3</v>
      </c>
      <c r="U146" s="6">
        <f t="shared" si="17"/>
        <v>2.5000000000000001E-3</v>
      </c>
      <c r="V146" s="9">
        <v>30</v>
      </c>
      <c r="W146" s="9">
        <f>35432*0.4</f>
        <v>14172.800000000001</v>
      </c>
    </row>
    <row r="147" spans="1:27" ht="38.25" x14ac:dyDescent="0.25">
      <c r="A147" s="865"/>
      <c r="B147" s="5" t="s">
        <v>74</v>
      </c>
      <c r="C147" s="872"/>
      <c r="D147" s="6">
        <v>1.9</v>
      </c>
      <c r="E147" s="6">
        <v>3.5</v>
      </c>
      <c r="F147" s="6">
        <v>1</v>
      </c>
      <c r="G147" s="6">
        <v>1.3</v>
      </c>
      <c r="H147" s="6">
        <v>1.2</v>
      </c>
      <c r="I147" s="6">
        <v>0.01</v>
      </c>
      <c r="J147" s="6">
        <v>0.01</v>
      </c>
      <c r="K147" s="6">
        <v>2</v>
      </c>
      <c r="L147" s="6">
        <v>1450</v>
      </c>
      <c r="M147" s="6">
        <v>2E-3</v>
      </c>
      <c r="N147" s="6">
        <v>1.5</v>
      </c>
      <c r="O147" s="6">
        <v>14</v>
      </c>
      <c r="P147" s="6">
        <v>1</v>
      </c>
      <c r="Q147" s="6">
        <f t="shared" si="15"/>
        <v>709</v>
      </c>
      <c r="R147" s="1" t="s">
        <v>75</v>
      </c>
      <c r="S147" s="1">
        <v>2908</v>
      </c>
      <c r="T147" s="6">
        <f t="shared" si="16"/>
        <v>1.1999999999999999E-3</v>
      </c>
      <c r="U147" s="6">
        <f t="shared" si="17"/>
        <v>3.0999999999999999E-3</v>
      </c>
      <c r="V147" s="9">
        <v>30</v>
      </c>
      <c r="W147" s="9">
        <f>35432*0.6</f>
        <v>21259.200000000001</v>
      </c>
    </row>
    <row r="148" spans="1:27" ht="25.5" x14ac:dyDescent="0.25">
      <c r="A148" s="878" t="s">
        <v>489</v>
      </c>
      <c r="B148" s="879"/>
      <c r="C148" s="879"/>
      <c r="D148" s="879"/>
      <c r="E148" s="879"/>
      <c r="F148" s="879"/>
      <c r="G148" s="879"/>
      <c r="H148" s="879"/>
      <c r="I148" s="879"/>
      <c r="J148" s="879"/>
      <c r="K148" s="879"/>
      <c r="L148" s="879"/>
      <c r="M148" s="879"/>
      <c r="N148" s="879"/>
      <c r="O148" s="879"/>
      <c r="P148" s="879"/>
      <c r="Q148" s="880"/>
      <c r="R148" s="7" t="s">
        <v>75</v>
      </c>
      <c r="S148" s="7">
        <v>2908</v>
      </c>
      <c r="T148" s="8">
        <f>T144+T145+T146+T147</f>
        <v>2.6700000000000002E-2</v>
      </c>
      <c r="U148" s="8">
        <f>U144+U145+U146+U147</f>
        <v>9.0500000000000011E-2</v>
      </c>
      <c r="V148" s="697">
        <f>T148</f>
        <v>2.6700000000000002E-2</v>
      </c>
      <c r="W148" s="698">
        <f>U148</f>
        <v>9.0500000000000011E-2</v>
      </c>
      <c r="X148" s="705">
        <v>2050</v>
      </c>
      <c r="Y148" s="3"/>
    </row>
    <row r="149" spans="1:27" ht="14.1" customHeight="1" x14ac:dyDescent="0.25">
      <c r="A149" s="781" t="s">
        <v>123</v>
      </c>
      <c r="B149" s="782"/>
      <c r="C149" s="782"/>
      <c r="D149" s="782"/>
      <c r="E149" s="782"/>
      <c r="F149" s="782"/>
      <c r="G149" s="782"/>
      <c r="H149" s="782"/>
      <c r="I149" s="782"/>
      <c r="J149" s="782"/>
      <c r="K149" s="782"/>
      <c r="L149" s="782"/>
      <c r="M149" s="782"/>
      <c r="N149" s="782"/>
      <c r="O149" s="782"/>
      <c r="P149" s="782"/>
      <c r="Q149" s="782"/>
      <c r="R149" s="782"/>
      <c r="S149" s="782"/>
      <c r="T149" s="782"/>
      <c r="U149" s="783"/>
    </row>
    <row r="150" spans="1:27" ht="14.1" customHeight="1" x14ac:dyDescent="0.25">
      <c r="A150" s="781" t="s">
        <v>120</v>
      </c>
      <c r="B150" s="876"/>
      <c r="C150" s="876"/>
      <c r="D150" s="876"/>
      <c r="E150" s="876"/>
      <c r="F150" s="876"/>
      <c r="G150" s="876"/>
      <c r="H150" s="876"/>
      <c r="I150" s="876"/>
      <c r="J150" s="876"/>
      <c r="K150" s="876"/>
      <c r="L150" s="876"/>
      <c r="M150" s="876"/>
      <c r="N150" s="876"/>
      <c r="O150" s="876"/>
      <c r="P150" s="876"/>
      <c r="Q150" s="876"/>
      <c r="R150" s="876"/>
      <c r="S150" s="876"/>
      <c r="T150" s="876"/>
      <c r="U150" s="877"/>
    </row>
    <row r="151" spans="1:27" ht="25.5" x14ac:dyDescent="0.25">
      <c r="A151" s="864">
        <v>8005</v>
      </c>
      <c r="B151" s="5" t="s">
        <v>73</v>
      </c>
      <c r="C151" s="862" t="s">
        <v>682</v>
      </c>
      <c r="D151" s="6">
        <v>1.3</v>
      </c>
      <c r="E151" s="6">
        <v>3.5</v>
      </c>
      <c r="F151" s="6">
        <v>1</v>
      </c>
      <c r="G151" s="6">
        <v>1.3</v>
      </c>
      <c r="H151" s="6">
        <v>1.2</v>
      </c>
      <c r="I151" s="34">
        <v>0.01</v>
      </c>
      <c r="J151" s="6">
        <v>0.01</v>
      </c>
      <c r="K151" s="34">
        <v>4</v>
      </c>
      <c r="L151" s="34">
        <v>1450</v>
      </c>
      <c r="M151" s="34">
        <v>2E-3</v>
      </c>
      <c r="N151" s="34">
        <v>1.5</v>
      </c>
      <c r="O151" s="34">
        <v>14</v>
      </c>
      <c r="P151" s="34">
        <v>1</v>
      </c>
      <c r="Q151" s="34">
        <f t="shared" ref="Q151:Q154" si="18">ROUND((W151/V151),0)</f>
        <v>442</v>
      </c>
      <c r="R151" s="1" t="s">
        <v>75</v>
      </c>
      <c r="S151" s="1">
        <v>2908</v>
      </c>
      <c r="T151" s="6">
        <f t="shared" ref="T151:T154" si="19">ROUND((D151*E151*F151*K151*N151*L151*I151*J151/3600)+(G151*H151*I151*M151*O151*P151),4)</f>
        <v>1.5E-3</v>
      </c>
      <c r="U151" s="6">
        <f t="shared" ref="U151:U154" si="20">ROUND((((3.6*T151*Q151)/1000)),4)</f>
        <v>2.3999999999999998E-3</v>
      </c>
      <c r="V151" s="9">
        <v>30</v>
      </c>
      <c r="W151" s="647">
        <f>33163.6*0.4</f>
        <v>13265.44</v>
      </c>
      <c r="Y151" s="2"/>
      <c r="AA151" s="77"/>
    </row>
    <row r="152" spans="1:27" ht="38.25" x14ac:dyDescent="0.25">
      <c r="A152" s="865"/>
      <c r="B152" s="5" t="s">
        <v>74</v>
      </c>
      <c r="C152" s="863"/>
      <c r="D152" s="6">
        <v>1.9</v>
      </c>
      <c r="E152" s="6">
        <v>3.5</v>
      </c>
      <c r="F152" s="6">
        <v>1</v>
      </c>
      <c r="G152" s="6">
        <v>1.3</v>
      </c>
      <c r="H152" s="6">
        <v>1.2</v>
      </c>
      <c r="I152" s="34">
        <v>0.01</v>
      </c>
      <c r="J152" s="6">
        <v>0.01</v>
      </c>
      <c r="K152" s="34">
        <v>3</v>
      </c>
      <c r="L152" s="34">
        <v>1450</v>
      </c>
      <c r="M152" s="34">
        <v>2E-3</v>
      </c>
      <c r="N152" s="34">
        <v>1.5</v>
      </c>
      <c r="O152" s="34">
        <v>14</v>
      </c>
      <c r="P152" s="34">
        <v>1</v>
      </c>
      <c r="Q152" s="34">
        <f t="shared" si="18"/>
        <v>497</v>
      </c>
      <c r="R152" s="1" t="s">
        <v>75</v>
      </c>
      <c r="S152" s="1">
        <v>2908</v>
      </c>
      <c r="T152" s="6">
        <f t="shared" si="19"/>
        <v>1.6000000000000001E-3</v>
      </c>
      <c r="U152" s="6">
        <f t="shared" si="20"/>
        <v>2.8999999999999998E-3</v>
      </c>
      <c r="V152" s="9">
        <v>40</v>
      </c>
      <c r="W152" s="647">
        <f>33163.6*0.6</f>
        <v>19898.16</v>
      </c>
      <c r="Y152" s="2"/>
      <c r="AA152" s="77"/>
    </row>
    <row r="153" spans="1:27" ht="25.5" x14ac:dyDescent="0.25">
      <c r="A153" s="865"/>
      <c r="B153" s="5" t="s">
        <v>73</v>
      </c>
      <c r="C153" s="871" t="s">
        <v>279</v>
      </c>
      <c r="D153" s="6">
        <v>1.3</v>
      </c>
      <c r="E153" s="6">
        <v>3.5</v>
      </c>
      <c r="F153" s="6">
        <v>1</v>
      </c>
      <c r="G153" s="6">
        <v>1.3</v>
      </c>
      <c r="H153" s="6">
        <v>1.2</v>
      </c>
      <c r="I153" s="6">
        <v>0.01</v>
      </c>
      <c r="J153" s="6">
        <v>0.01</v>
      </c>
      <c r="K153" s="6">
        <v>3</v>
      </c>
      <c r="L153" s="6">
        <v>1450</v>
      </c>
      <c r="M153" s="6">
        <v>2E-3</v>
      </c>
      <c r="N153" s="6">
        <v>1.5</v>
      </c>
      <c r="O153" s="6">
        <v>14</v>
      </c>
      <c r="P153" s="6">
        <v>1</v>
      </c>
      <c r="Q153" s="6">
        <f t="shared" si="18"/>
        <v>98</v>
      </c>
      <c r="R153" s="1" t="s">
        <v>75</v>
      </c>
      <c r="S153" s="1">
        <v>2908</v>
      </c>
      <c r="T153" s="6">
        <f t="shared" si="19"/>
        <v>1.2999999999999999E-3</v>
      </c>
      <c r="U153" s="6">
        <f t="shared" si="20"/>
        <v>5.0000000000000001E-4</v>
      </c>
      <c r="V153" s="9">
        <v>20</v>
      </c>
      <c r="W153" s="9">
        <f>4896*0.4</f>
        <v>1958.4</v>
      </c>
    </row>
    <row r="154" spans="1:27" ht="38.25" x14ac:dyDescent="0.25">
      <c r="A154" s="865"/>
      <c r="B154" s="5" t="s">
        <v>74</v>
      </c>
      <c r="C154" s="872"/>
      <c r="D154" s="6">
        <v>1.9</v>
      </c>
      <c r="E154" s="6">
        <v>3.5</v>
      </c>
      <c r="F154" s="6">
        <v>1</v>
      </c>
      <c r="G154" s="6">
        <v>1.3</v>
      </c>
      <c r="H154" s="6">
        <v>1.2</v>
      </c>
      <c r="I154" s="6">
        <v>0.01</v>
      </c>
      <c r="J154" s="6">
        <v>0.01</v>
      </c>
      <c r="K154" s="6">
        <v>2</v>
      </c>
      <c r="L154" s="6">
        <v>1450</v>
      </c>
      <c r="M154" s="6">
        <v>2E-3</v>
      </c>
      <c r="N154" s="6">
        <v>1.5</v>
      </c>
      <c r="O154" s="6">
        <v>14</v>
      </c>
      <c r="P154" s="6">
        <v>1</v>
      </c>
      <c r="Q154" s="6">
        <f t="shared" si="18"/>
        <v>147</v>
      </c>
      <c r="R154" s="1" t="s">
        <v>75</v>
      </c>
      <c r="S154" s="1">
        <v>2908</v>
      </c>
      <c r="T154" s="6">
        <f t="shared" si="19"/>
        <v>1.1999999999999999E-3</v>
      </c>
      <c r="U154" s="6">
        <f t="shared" si="20"/>
        <v>5.9999999999999995E-4</v>
      </c>
      <c r="V154" s="9">
        <v>20</v>
      </c>
      <c r="W154" s="9">
        <f>4896*0.6</f>
        <v>2937.6</v>
      </c>
    </row>
    <row r="155" spans="1:27" ht="25.5" x14ac:dyDescent="0.25">
      <c r="A155" s="878" t="s">
        <v>489</v>
      </c>
      <c r="B155" s="879"/>
      <c r="C155" s="879"/>
      <c r="D155" s="879"/>
      <c r="E155" s="879"/>
      <c r="F155" s="879"/>
      <c r="G155" s="879"/>
      <c r="H155" s="879"/>
      <c r="I155" s="879"/>
      <c r="J155" s="879"/>
      <c r="K155" s="879"/>
      <c r="L155" s="879"/>
      <c r="M155" s="879"/>
      <c r="N155" s="879"/>
      <c r="O155" s="879"/>
      <c r="P155" s="879"/>
      <c r="Q155" s="880"/>
      <c r="R155" s="7" t="s">
        <v>75</v>
      </c>
      <c r="S155" s="7">
        <v>2908</v>
      </c>
      <c r="T155" s="8">
        <f>T151+T152+T153+T154</f>
        <v>5.5999999999999999E-3</v>
      </c>
      <c r="U155" s="8">
        <f>U151+U152+U153+U154</f>
        <v>6.3999999999999994E-3</v>
      </c>
      <c r="V155" s="697">
        <f>T155</f>
        <v>5.5999999999999999E-3</v>
      </c>
      <c r="W155" s="698">
        <f>U155</f>
        <v>6.3999999999999994E-3</v>
      </c>
      <c r="X155" s="705">
        <v>2051</v>
      </c>
      <c r="Y155" s="3"/>
    </row>
  </sheetData>
  <mergeCells count="128">
    <mergeCell ref="A1:U1"/>
    <mergeCell ref="A28:U28"/>
    <mergeCell ref="A12:O12"/>
    <mergeCell ref="A13:O13"/>
    <mergeCell ref="A15:O15"/>
    <mergeCell ref="A16:O16"/>
    <mergeCell ref="A19:O19"/>
    <mergeCell ref="A20:O20"/>
    <mergeCell ref="A25:O25"/>
    <mergeCell ref="A26:O26"/>
    <mergeCell ref="A27:O27"/>
    <mergeCell ref="A3:O3"/>
    <mergeCell ref="A4:O4"/>
    <mergeCell ref="A8:O8"/>
    <mergeCell ref="A10:O10"/>
    <mergeCell ref="A11:O11"/>
    <mergeCell ref="A21:O21"/>
    <mergeCell ref="A22:O22"/>
    <mergeCell ref="A24:O24"/>
    <mergeCell ref="A6:U6"/>
    <mergeCell ref="A7:U7"/>
    <mergeCell ref="A9:U9"/>
    <mergeCell ref="A14:U14"/>
    <mergeCell ref="A17:U17"/>
    <mergeCell ref="C153:C154"/>
    <mergeCell ref="A151:A154"/>
    <mergeCell ref="C108:C109"/>
    <mergeCell ref="A106:A109"/>
    <mergeCell ref="C125:C126"/>
    <mergeCell ref="A129:Q129"/>
    <mergeCell ref="A123:U123"/>
    <mergeCell ref="A124:U124"/>
    <mergeCell ref="C127:C128"/>
    <mergeCell ref="A117:Q117"/>
    <mergeCell ref="A136:Q136"/>
    <mergeCell ref="A137:U137"/>
    <mergeCell ref="A138:U138"/>
    <mergeCell ref="C139:C140"/>
    <mergeCell ref="A139:A140"/>
    <mergeCell ref="A141:Q141"/>
    <mergeCell ref="C146:C147"/>
    <mergeCell ref="A144:A147"/>
    <mergeCell ref="C151:C152"/>
    <mergeCell ref="C132:C133"/>
    <mergeCell ref="A110:Q110"/>
    <mergeCell ref="C134:C135"/>
    <mergeCell ref="A132:A135"/>
    <mergeCell ref="A18:U18"/>
    <mergeCell ref="A23:U23"/>
    <mergeCell ref="A67:Q67"/>
    <mergeCell ref="A79:U79"/>
    <mergeCell ref="A81:U81"/>
    <mergeCell ref="A30:U30"/>
    <mergeCell ref="A34:U34"/>
    <mergeCell ref="A35:U35"/>
    <mergeCell ref="A42:Q42"/>
    <mergeCell ref="C36:C37"/>
    <mergeCell ref="C38:C39"/>
    <mergeCell ref="C40:C41"/>
    <mergeCell ref="A36:A41"/>
    <mergeCell ref="A33:U33"/>
    <mergeCell ref="A43:U43"/>
    <mergeCell ref="C44:C45"/>
    <mergeCell ref="A52:Q52"/>
    <mergeCell ref="C56:C57"/>
    <mergeCell ref="A58:Q58"/>
    <mergeCell ref="C63:C64"/>
    <mergeCell ref="A54:A57"/>
    <mergeCell ref="A60:U60"/>
    <mergeCell ref="C61:C62"/>
    <mergeCell ref="C48:C49"/>
    <mergeCell ref="C46:C47"/>
    <mergeCell ref="C50:C51"/>
    <mergeCell ref="A44:A51"/>
    <mergeCell ref="A155:Q155"/>
    <mergeCell ref="A53:U53"/>
    <mergeCell ref="C54:C55"/>
    <mergeCell ref="C144:C145"/>
    <mergeCell ref="A148:Q148"/>
    <mergeCell ref="A149:U149"/>
    <mergeCell ref="A150:U150"/>
    <mergeCell ref="A142:U142"/>
    <mergeCell ref="A143:U143"/>
    <mergeCell ref="A130:U130"/>
    <mergeCell ref="A131:U131"/>
    <mergeCell ref="C72:C73"/>
    <mergeCell ref="A59:U59"/>
    <mergeCell ref="A125:A128"/>
    <mergeCell ref="A112:U112"/>
    <mergeCell ref="C113:C114"/>
    <mergeCell ref="A68:U68"/>
    <mergeCell ref="A69:U69"/>
    <mergeCell ref="C70:C71"/>
    <mergeCell ref="A74:Q74"/>
    <mergeCell ref="A83:U83"/>
    <mergeCell ref="A104:U104"/>
    <mergeCell ref="A105:U105"/>
    <mergeCell ref="C106:C107"/>
    <mergeCell ref="A96:Q96"/>
    <mergeCell ref="A97:U97"/>
    <mergeCell ref="A98:U98"/>
    <mergeCell ref="C99:C100"/>
    <mergeCell ref="A103:Q103"/>
    <mergeCell ref="A122:Q122"/>
    <mergeCell ref="C65:C66"/>
    <mergeCell ref="A61:A66"/>
    <mergeCell ref="C101:C102"/>
    <mergeCell ref="A99:A102"/>
    <mergeCell ref="C115:C116"/>
    <mergeCell ref="A118:U118"/>
    <mergeCell ref="A119:U119"/>
    <mergeCell ref="A113:A116"/>
    <mergeCell ref="C120:C121"/>
    <mergeCell ref="A120:A121"/>
    <mergeCell ref="C85:C86"/>
    <mergeCell ref="C94:C95"/>
    <mergeCell ref="A92:A95"/>
    <mergeCell ref="A89:Q89"/>
    <mergeCell ref="A90:U90"/>
    <mergeCell ref="A91:U91"/>
    <mergeCell ref="A75:U75"/>
    <mergeCell ref="A70:A73"/>
    <mergeCell ref="C87:C88"/>
    <mergeCell ref="A77:U77"/>
    <mergeCell ref="C92:C93"/>
    <mergeCell ref="A84:U84"/>
    <mergeCell ref="A111:U111"/>
    <mergeCell ref="A85:A88"/>
  </mergeCells>
  <pageMargins left="0.31496062992125984" right="0.31496062992125984" top="0.78740157480314965" bottom="0.39370078740157483" header="0.31496062992125984" footer="0.19685039370078741"/>
  <pageSetup paperSize="9" firstPageNumber="165" orientation="landscape" useFirstPageNumber="1" r:id="rId1"/>
  <headerFooter>
    <oddFooter>&amp;R&amp;P</oddFooter>
  </headerFooter>
  <rowBreaks count="1" manualBreakCount="1">
    <brk id="116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AG89"/>
  <sheetViews>
    <sheetView view="pageBreakPreview" topLeftCell="A19" zoomScale="85" zoomScaleNormal="100" zoomScaleSheetLayoutView="85" workbookViewId="0">
      <selection activeCell="A27" sqref="A27:Y27"/>
    </sheetView>
  </sheetViews>
  <sheetFormatPr defaultRowHeight="15" x14ac:dyDescent="0.25"/>
  <cols>
    <col min="1" max="1" width="6.28515625" style="624" customWidth="1"/>
    <col min="2" max="2" width="12.28515625" style="86" customWidth="1"/>
    <col min="3" max="3" width="8.7109375" style="86" customWidth="1"/>
    <col min="4" max="4" width="4.7109375" style="86" customWidth="1"/>
    <col min="5" max="5" width="4.28515625" style="86" customWidth="1"/>
    <col min="6" max="6" width="4" style="86" customWidth="1"/>
    <col min="7" max="7" width="3.85546875" style="86" customWidth="1"/>
    <col min="8" max="8" width="4.28515625" style="86" customWidth="1"/>
    <col min="9" max="9" width="4.140625" style="86" customWidth="1"/>
    <col min="10" max="10" width="3.7109375" style="86" customWidth="1"/>
    <col min="11" max="11" width="3.5703125" style="86" customWidth="1"/>
    <col min="12" max="12" width="3.7109375" style="86" customWidth="1"/>
    <col min="13" max="13" width="3.28515625" style="86" customWidth="1"/>
    <col min="14" max="14" width="4.5703125" style="86" customWidth="1"/>
    <col min="15" max="15" width="6.42578125" style="86" customWidth="1"/>
    <col min="16" max="16" width="5.140625" style="86" customWidth="1"/>
    <col min="17" max="17" width="6.7109375" style="86" customWidth="1"/>
    <col min="18" max="18" width="4.5703125" style="86" customWidth="1"/>
    <col min="19" max="20" width="3.7109375" style="87" customWidth="1"/>
    <col min="21" max="21" width="14.5703125" style="86" customWidth="1"/>
    <col min="22" max="22" width="4.7109375" style="86" customWidth="1"/>
    <col min="23" max="23" width="5.140625" style="86" customWidth="1"/>
    <col min="24" max="24" width="6.85546875" style="86" customWidth="1"/>
    <col min="25" max="25" width="6.7109375" style="86" customWidth="1"/>
    <col min="26" max="30" width="9.140625" style="91"/>
    <col min="31" max="16384" width="9.140625" style="86"/>
  </cols>
  <sheetData>
    <row r="1" spans="1:30" s="104" customFormat="1" ht="36.75" customHeight="1" x14ac:dyDescent="0.25">
      <c r="A1" s="766" t="s">
        <v>385</v>
      </c>
      <c r="B1" s="766"/>
      <c r="C1" s="766"/>
      <c r="D1" s="766"/>
      <c r="E1" s="766"/>
      <c r="F1" s="766"/>
      <c r="G1" s="766"/>
      <c r="H1" s="766"/>
      <c r="I1" s="766"/>
      <c r="J1" s="766"/>
      <c r="K1" s="766"/>
      <c r="L1" s="766"/>
      <c r="M1" s="766"/>
      <c r="N1" s="766"/>
      <c r="O1" s="766"/>
      <c r="P1" s="766"/>
      <c r="Q1" s="766"/>
      <c r="R1" s="766"/>
      <c r="S1" s="766"/>
      <c r="T1" s="766"/>
      <c r="U1" s="766"/>
      <c r="V1" s="766"/>
      <c r="Z1" s="106"/>
      <c r="AA1" s="106"/>
      <c r="AB1" s="106"/>
      <c r="AC1" s="106"/>
      <c r="AD1" s="106"/>
    </row>
    <row r="2" spans="1:30" s="114" customFormat="1" ht="15.75" x14ac:dyDescent="0.25">
      <c r="A2" s="796" t="s">
        <v>318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  <c r="O2" s="796"/>
      <c r="Z2" s="633"/>
      <c r="AA2" s="633"/>
      <c r="AB2" s="633"/>
      <c r="AC2" s="633"/>
      <c r="AD2" s="633"/>
    </row>
    <row r="3" spans="1:30" s="114" customFormat="1" ht="21" customHeight="1" x14ac:dyDescent="0.25">
      <c r="A3" s="793" t="s">
        <v>319</v>
      </c>
      <c r="B3" s="793"/>
      <c r="C3" s="793"/>
      <c r="D3" s="793"/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633"/>
      <c r="AA3" s="633"/>
      <c r="AB3" s="633"/>
      <c r="AC3" s="633"/>
      <c r="AD3" s="633"/>
    </row>
    <row r="4" spans="1:30" s="114" customFormat="1" ht="6" customHeight="1" x14ac:dyDescent="0.25">
      <c r="A4" s="53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633"/>
      <c r="AA4" s="633"/>
      <c r="AB4" s="633"/>
      <c r="AC4" s="633"/>
      <c r="AD4" s="633"/>
    </row>
    <row r="5" spans="1:30" s="104" customFormat="1" ht="21" customHeight="1" x14ac:dyDescent="0.25">
      <c r="A5" s="922" t="s">
        <v>347</v>
      </c>
      <c r="B5" s="922"/>
      <c r="C5" s="922"/>
      <c r="D5" s="922"/>
      <c r="E5" s="922"/>
      <c r="F5" s="922"/>
      <c r="G5" s="922"/>
      <c r="H5" s="922"/>
      <c r="I5" s="922"/>
      <c r="J5" s="922"/>
      <c r="K5" s="922"/>
      <c r="L5" s="922"/>
      <c r="M5" s="922"/>
      <c r="N5" s="922"/>
      <c r="O5" s="922"/>
      <c r="P5" s="922"/>
      <c r="Q5" s="922"/>
      <c r="R5" s="922"/>
      <c r="S5" s="922"/>
      <c r="T5" s="922"/>
      <c r="U5" s="922"/>
      <c r="V5" s="922"/>
      <c r="Z5" s="106"/>
      <c r="AA5" s="106"/>
      <c r="AB5" s="106"/>
      <c r="AC5" s="106"/>
      <c r="AD5" s="106"/>
    </row>
    <row r="6" spans="1:30" s="104" customFormat="1" ht="21" customHeight="1" x14ac:dyDescent="0.25">
      <c r="A6" s="105"/>
      <c r="B6" s="766" t="s">
        <v>518</v>
      </c>
      <c r="C6" s="766"/>
      <c r="D6" s="766"/>
      <c r="E6" s="766"/>
      <c r="F6" s="766"/>
      <c r="G6" s="766"/>
      <c r="H6" s="766"/>
      <c r="I6" s="766"/>
      <c r="J6" s="766"/>
      <c r="K6" s="766"/>
      <c r="L6" s="766"/>
      <c r="M6" s="766"/>
      <c r="N6" s="766"/>
      <c r="O6" s="766"/>
      <c r="P6" s="766"/>
      <c r="Q6" s="766"/>
      <c r="R6" s="766"/>
      <c r="S6" s="766"/>
      <c r="T6" s="766"/>
      <c r="U6" s="766"/>
      <c r="V6" s="105"/>
      <c r="Z6" s="106"/>
      <c r="AA6" s="106"/>
      <c r="AB6" s="106"/>
      <c r="AC6" s="106"/>
      <c r="AD6" s="106"/>
    </row>
    <row r="7" spans="1:30" s="104" customFormat="1" ht="2.25" customHeight="1" x14ac:dyDescent="0.25">
      <c r="A7" s="105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5"/>
      <c r="Z7" s="106"/>
      <c r="AA7" s="106"/>
      <c r="AB7" s="106"/>
      <c r="AC7" s="106"/>
      <c r="AD7" s="106"/>
    </row>
    <row r="8" spans="1:30" s="106" customFormat="1" ht="22.5" customHeight="1" x14ac:dyDescent="0.3">
      <c r="A8" s="926" t="s">
        <v>349</v>
      </c>
      <c r="B8" s="926"/>
      <c r="C8" s="926"/>
      <c r="D8" s="926"/>
      <c r="E8" s="926"/>
      <c r="F8" s="926"/>
      <c r="G8" s="926"/>
      <c r="H8" s="926"/>
      <c r="I8" s="926"/>
      <c r="J8" s="926"/>
      <c r="K8" s="926"/>
      <c r="L8" s="926"/>
      <c r="M8" s="926"/>
      <c r="N8" s="926"/>
      <c r="O8" s="926"/>
      <c r="P8" s="926"/>
      <c r="Q8" s="926"/>
      <c r="R8" s="926"/>
      <c r="S8" s="926"/>
      <c r="T8" s="926"/>
      <c r="U8" s="926"/>
      <c r="V8" s="926"/>
      <c r="W8" s="926"/>
      <c r="X8" s="926"/>
      <c r="Y8" s="926"/>
    </row>
    <row r="9" spans="1:30" s="113" customFormat="1" ht="22.5" customHeight="1" x14ac:dyDescent="0.3">
      <c r="A9" s="925" t="s">
        <v>399</v>
      </c>
      <c r="B9" s="925"/>
      <c r="C9" s="925"/>
      <c r="D9" s="925"/>
      <c r="E9" s="925"/>
      <c r="F9" s="925"/>
      <c r="G9" s="925"/>
      <c r="H9" s="925"/>
      <c r="I9" s="925"/>
      <c r="J9" s="925"/>
      <c r="K9" s="925"/>
      <c r="L9" s="925"/>
      <c r="M9" s="925"/>
      <c r="N9" s="925"/>
      <c r="O9" s="925"/>
      <c r="P9" s="925"/>
      <c r="Q9" s="925"/>
      <c r="R9" s="925"/>
      <c r="S9" s="925"/>
      <c r="T9" s="925"/>
      <c r="U9" s="925"/>
      <c r="V9" s="925"/>
      <c r="W9" s="925"/>
      <c r="X9" s="925"/>
      <c r="Y9" s="925"/>
      <c r="Z9" s="633"/>
      <c r="AA9" s="633"/>
      <c r="AB9" s="633"/>
      <c r="AC9" s="633"/>
      <c r="AD9" s="633"/>
    </row>
    <row r="10" spans="1:30" s="113" customFormat="1" ht="6.75" customHeight="1" x14ac:dyDescent="0.3">
      <c r="A10" s="484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633"/>
      <c r="AA10" s="633"/>
      <c r="AB10" s="633"/>
      <c r="AC10" s="633"/>
      <c r="AD10" s="633"/>
    </row>
    <row r="11" spans="1:30" s="106" customFormat="1" ht="22.5" customHeight="1" x14ac:dyDescent="0.3">
      <c r="A11" s="926" t="s">
        <v>401</v>
      </c>
      <c r="B11" s="926"/>
      <c r="C11" s="926"/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</row>
    <row r="12" spans="1:30" s="113" customFormat="1" ht="22.5" customHeight="1" x14ac:dyDescent="0.3">
      <c r="A12" s="925" t="s">
        <v>519</v>
      </c>
      <c r="B12" s="925"/>
      <c r="C12" s="925"/>
      <c r="D12" s="925"/>
      <c r="E12" s="925"/>
      <c r="F12" s="925"/>
      <c r="G12" s="925"/>
      <c r="H12" s="925"/>
      <c r="I12" s="925"/>
      <c r="J12" s="925"/>
      <c r="K12" s="925"/>
      <c r="L12" s="925"/>
      <c r="M12" s="925"/>
      <c r="N12" s="925"/>
      <c r="O12" s="925"/>
      <c r="P12" s="925"/>
      <c r="Q12" s="925"/>
      <c r="R12" s="925"/>
      <c r="S12" s="925"/>
      <c r="T12" s="925"/>
      <c r="U12" s="925"/>
      <c r="V12" s="925"/>
      <c r="W12" s="925"/>
      <c r="X12" s="925"/>
      <c r="Y12" s="925"/>
      <c r="Z12" s="633"/>
      <c r="AA12" s="633"/>
      <c r="AB12" s="633"/>
      <c r="AC12" s="633"/>
      <c r="AD12" s="633"/>
    </row>
    <row r="13" spans="1:30" s="113" customFormat="1" ht="11.25" customHeight="1" x14ac:dyDescent="0.3">
      <c r="A13" s="484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633"/>
      <c r="AA13" s="633"/>
      <c r="AB13" s="633"/>
      <c r="AC13" s="633"/>
      <c r="AD13" s="633"/>
    </row>
    <row r="14" spans="1:30" s="114" customFormat="1" ht="15.75" x14ac:dyDescent="0.25">
      <c r="A14" s="793" t="s">
        <v>339</v>
      </c>
      <c r="B14" s="793"/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  <c r="Z14" s="633"/>
      <c r="AA14" s="633"/>
      <c r="AB14" s="633"/>
      <c r="AC14" s="633"/>
      <c r="AD14" s="633"/>
    </row>
    <row r="15" spans="1:30" s="104" customFormat="1" ht="15.75" customHeight="1" x14ac:dyDescent="0.25">
      <c r="A15" s="922" t="s">
        <v>386</v>
      </c>
      <c r="B15" s="922"/>
      <c r="C15" s="922"/>
      <c r="D15" s="922"/>
      <c r="E15" s="922"/>
      <c r="F15" s="922"/>
      <c r="G15" s="922"/>
      <c r="H15" s="922"/>
      <c r="I15" s="922"/>
      <c r="J15" s="922"/>
      <c r="K15" s="922"/>
      <c r="L15" s="922"/>
      <c r="M15" s="922"/>
      <c r="N15" s="922"/>
      <c r="O15" s="922"/>
      <c r="P15" s="922"/>
      <c r="Q15" s="922"/>
      <c r="R15" s="922"/>
      <c r="S15" s="922"/>
      <c r="T15" s="922"/>
      <c r="U15" s="922"/>
      <c r="V15" s="922"/>
      <c r="Z15" s="106"/>
      <c r="AA15" s="106"/>
      <c r="AB15" s="106"/>
      <c r="AC15" s="106"/>
      <c r="AD15" s="106"/>
    </row>
    <row r="16" spans="1:30" s="104" customFormat="1" ht="13.5" customHeight="1" x14ac:dyDescent="0.25">
      <c r="A16" s="922" t="s">
        <v>387</v>
      </c>
      <c r="B16" s="922"/>
      <c r="C16" s="922"/>
      <c r="D16" s="922"/>
      <c r="E16" s="922"/>
      <c r="F16" s="922"/>
      <c r="G16" s="922"/>
      <c r="H16" s="922"/>
      <c r="I16" s="922"/>
      <c r="J16" s="922"/>
      <c r="K16" s="922"/>
      <c r="L16" s="922"/>
      <c r="M16" s="922"/>
      <c r="N16" s="922"/>
      <c r="O16" s="922"/>
      <c r="P16" s="922"/>
      <c r="Q16" s="922"/>
      <c r="R16" s="922"/>
      <c r="S16" s="922"/>
      <c r="T16" s="922"/>
      <c r="U16" s="922"/>
      <c r="V16" s="922"/>
      <c r="Z16" s="106"/>
      <c r="AA16" s="106"/>
      <c r="AB16" s="106"/>
      <c r="AC16" s="106"/>
      <c r="AD16" s="106"/>
    </row>
    <row r="17" spans="1:30" s="104" customFormat="1" ht="30" customHeight="1" x14ac:dyDescent="0.25">
      <c r="A17" s="922" t="s">
        <v>388</v>
      </c>
      <c r="B17" s="922"/>
      <c r="C17" s="922"/>
      <c r="D17" s="922"/>
      <c r="E17" s="922"/>
      <c r="F17" s="922"/>
      <c r="G17" s="922"/>
      <c r="H17" s="922"/>
      <c r="I17" s="922"/>
      <c r="J17" s="922"/>
      <c r="K17" s="922"/>
      <c r="L17" s="922"/>
      <c r="M17" s="922"/>
      <c r="N17" s="922"/>
      <c r="O17" s="922"/>
      <c r="P17" s="922"/>
      <c r="Q17" s="922"/>
      <c r="R17" s="922"/>
      <c r="S17" s="922"/>
      <c r="T17" s="922"/>
      <c r="U17" s="922"/>
      <c r="V17" s="922"/>
      <c r="W17" s="922"/>
      <c r="X17" s="922"/>
      <c r="Y17" s="922"/>
      <c r="Z17" s="106"/>
      <c r="AA17" s="106"/>
      <c r="AB17" s="106"/>
      <c r="AC17" s="106"/>
      <c r="AD17" s="106"/>
    </row>
    <row r="18" spans="1:30" s="104" customFormat="1" ht="16.5" customHeight="1" x14ac:dyDescent="0.25">
      <c r="A18" s="922" t="s">
        <v>389</v>
      </c>
      <c r="B18" s="922"/>
      <c r="C18" s="922"/>
      <c r="D18" s="922"/>
      <c r="E18" s="922"/>
      <c r="F18" s="922"/>
      <c r="G18" s="922"/>
      <c r="H18" s="922"/>
      <c r="I18" s="922"/>
      <c r="J18" s="922"/>
      <c r="K18" s="922"/>
      <c r="L18" s="922"/>
      <c r="M18" s="922"/>
      <c r="N18" s="922"/>
      <c r="O18" s="922"/>
      <c r="P18" s="922"/>
      <c r="Q18" s="922"/>
      <c r="R18" s="922"/>
      <c r="S18" s="922"/>
      <c r="T18" s="922"/>
      <c r="U18" s="922"/>
      <c r="V18" s="922"/>
      <c r="W18" s="922"/>
      <c r="X18" s="922"/>
      <c r="Y18" s="922"/>
      <c r="Z18" s="106"/>
      <c r="AA18" s="106"/>
      <c r="AB18" s="106"/>
      <c r="AC18" s="106"/>
      <c r="AD18" s="106"/>
    </row>
    <row r="19" spans="1:30" s="104" customFormat="1" ht="30" customHeight="1" x14ac:dyDescent="0.25">
      <c r="A19" s="922" t="s">
        <v>390</v>
      </c>
      <c r="B19" s="922"/>
      <c r="C19" s="922"/>
      <c r="D19" s="922"/>
      <c r="E19" s="922"/>
      <c r="F19" s="922"/>
      <c r="G19" s="922"/>
      <c r="H19" s="922"/>
      <c r="I19" s="922"/>
      <c r="J19" s="922"/>
      <c r="K19" s="922"/>
      <c r="L19" s="922"/>
      <c r="M19" s="922"/>
      <c r="N19" s="922"/>
      <c r="O19" s="922"/>
      <c r="P19" s="922"/>
      <c r="Q19" s="922"/>
      <c r="R19" s="922"/>
      <c r="S19" s="922"/>
      <c r="T19" s="922"/>
      <c r="U19" s="922"/>
      <c r="V19" s="922"/>
      <c r="W19" s="922"/>
      <c r="X19" s="922"/>
      <c r="Y19" s="922"/>
      <c r="Z19" s="106"/>
      <c r="AA19" s="106"/>
      <c r="AB19" s="106"/>
      <c r="AC19" s="106"/>
      <c r="AD19" s="106"/>
    </row>
    <row r="20" spans="1:30" s="104" customFormat="1" ht="30" customHeight="1" x14ac:dyDescent="0.25">
      <c r="A20" s="922" t="s">
        <v>391</v>
      </c>
      <c r="B20" s="922"/>
      <c r="C20" s="922"/>
      <c r="D20" s="922"/>
      <c r="E20" s="922"/>
      <c r="F20" s="922"/>
      <c r="G20" s="922"/>
      <c r="H20" s="922"/>
      <c r="I20" s="922"/>
      <c r="J20" s="922"/>
      <c r="K20" s="922"/>
      <c r="L20" s="922"/>
      <c r="M20" s="922"/>
      <c r="N20" s="922"/>
      <c r="O20" s="922"/>
      <c r="P20" s="922"/>
      <c r="Q20" s="922"/>
      <c r="R20" s="922"/>
      <c r="S20" s="922"/>
      <c r="T20" s="922"/>
      <c r="U20" s="922"/>
      <c r="V20" s="922"/>
      <c r="W20" s="922"/>
      <c r="X20" s="922"/>
      <c r="Y20" s="922"/>
      <c r="Z20" s="106"/>
      <c r="AA20" s="106"/>
      <c r="AB20" s="106"/>
      <c r="AC20" s="106"/>
      <c r="AD20" s="106"/>
    </row>
    <row r="21" spans="1:30" s="104" customFormat="1" ht="30.75" customHeight="1" x14ac:dyDescent="0.25">
      <c r="A21" s="922" t="s">
        <v>392</v>
      </c>
      <c r="B21" s="922"/>
      <c r="C21" s="922"/>
      <c r="D21" s="922"/>
      <c r="E21" s="922"/>
      <c r="F21" s="922"/>
      <c r="G21" s="922"/>
      <c r="H21" s="922"/>
      <c r="I21" s="922"/>
      <c r="J21" s="922"/>
      <c r="K21" s="922"/>
      <c r="L21" s="922"/>
      <c r="M21" s="922"/>
      <c r="N21" s="922"/>
      <c r="O21" s="922"/>
      <c r="P21" s="922"/>
      <c r="Q21" s="922"/>
      <c r="R21" s="922"/>
      <c r="S21" s="922"/>
      <c r="T21" s="922"/>
      <c r="U21" s="922"/>
      <c r="V21" s="922"/>
      <c r="W21" s="922"/>
      <c r="X21" s="922"/>
      <c r="Y21" s="922"/>
      <c r="Z21" s="106"/>
      <c r="AA21" s="106"/>
      <c r="AB21" s="106"/>
      <c r="AC21" s="106"/>
      <c r="AD21" s="106"/>
    </row>
    <row r="22" spans="1:30" s="104" customFormat="1" ht="32.25" customHeight="1" x14ac:dyDescent="0.25">
      <c r="A22" s="922" t="s">
        <v>393</v>
      </c>
      <c r="B22" s="922"/>
      <c r="C22" s="922"/>
      <c r="D22" s="922"/>
      <c r="E22" s="922"/>
      <c r="F22" s="922"/>
      <c r="G22" s="922"/>
      <c r="H22" s="922"/>
      <c r="I22" s="922"/>
      <c r="J22" s="922"/>
      <c r="K22" s="922"/>
      <c r="L22" s="922"/>
      <c r="M22" s="922"/>
      <c r="N22" s="922"/>
      <c r="O22" s="922"/>
      <c r="P22" s="922"/>
      <c r="Q22" s="922"/>
      <c r="R22" s="922"/>
      <c r="S22" s="922"/>
      <c r="T22" s="922"/>
      <c r="U22" s="922"/>
      <c r="V22" s="922"/>
      <c r="W22" s="922"/>
      <c r="X22" s="922"/>
      <c r="Y22" s="922"/>
      <c r="Z22" s="106"/>
      <c r="AA22" s="106"/>
      <c r="AB22" s="106"/>
      <c r="AC22" s="106"/>
      <c r="AD22" s="106"/>
    </row>
    <row r="23" spans="1:30" s="104" customFormat="1" ht="30.75" customHeight="1" x14ac:dyDescent="0.25">
      <c r="A23" s="922" t="s">
        <v>394</v>
      </c>
      <c r="B23" s="922"/>
      <c r="C23" s="922"/>
      <c r="D23" s="922"/>
      <c r="E23" s="922"/>
      <c r="F23" s="922"/>
      <c r="G23" s="922"/>
      <c r="H23" s="922"/>
      <c r="I23" s="922"/>
      <c r="J23" s="922"/>
      <c r="K23" s="922"/>
      <c r="L23" s="922"/>
      <c r="M23" s="922"/>
      <c r="N23" s="922"/>
      <c r="O23" s="922"/>
      <c r="P23" s="922"/>
      <c r="Q23" s="922"/>
      <c r="R23" s="922"/>
      <c r="S23" s="922"/>
      <c r="T23" s="922"/>
      <c r="U23" s="922"/>
      <c r="V23" s="922"/>
      <c r="W23" s="922"/>
      <c r="X23" s="922"/>
      <c r="Y23" s="922"/>
      <c r="Z23" s="106"/>
      <c r="AA23" s="106"/>
      <c r="AB23" s="106"/>
      <c r="AC23" s="106"/>
      <c r="AD23" s="106"/>
    </row>
    <row r="24" spans="1:30" s="104" customFormat="1" ht="32.25" customHeight="1" x14ac:dyDescent="0.25">
      <c r="A24" s="922" t="s">
        <v>395</v>
      </c>
      <c r="B24" s="922"/>
      <c r="C24" s="922"/>
      <c r="D24" s="922"/>
      <c r="E24" s="922"/>
      <c r="F24" s="922"/>
      <c r="G24" s="922"/>
      <c r="H24" s="922"/>
      <c r="I24" s="922"/>
      <c r="J24" s="922"/>
      <c r="K24" s="922"/>
      <c r="L24" s="922"/>
      <c r="M24" s="922"/>
      <c r="N24" s="922"/>
      <c r="O24" s="922"/>
      <c r="P24" s="922"/>
      <c r="Q24" s="922"/>
      <c r="R24" s="922"/>
      <c r="S24" s="922"/>
      <c r="T24" s="922"/>
      <c r="U24" s="922"/>
      <c r="V24" s="922"/>
      <c r="W24" s="922"/>
      <c r="X24" s="922"/>
      <c r="Y24" s="922"/>
      <c r="Z24" s="106"/>
      <c r="AA24" s="106"/>
      <c r="AB24" s="106"/>
      <c r="AC24" s="106"/>
      <c r="AD24" s="106"/>
    </row>
    <row r="25" spans="1:30" s="104" customFormat="1" ht="14.25" customHeight="1" x14ac:dyDescent="0.25">
      <c r="A25" s="922" t="s">
        <v>396</v>
      </c>
      <c r="B25" s="922"/>
      <c r="C25" s="922"/>
      <c r="D25" s="922"/>
      <c r="E25" s="922"/>
      <c r="F25" s="922"/>
      <c r="G25" s="922"/>
      <c r="H25" s="922"/>
      <c r="I25" s="922"/>
      <c r="J25" s="922"/>
      <c r="K25" s="922"/>
      <c r="L25" s="922"/>
      <c r="M25" s="922"/>
      <c r="N25" s="922"/>
      <c r="O25" s="922"/>
      <c r="P25" s="922"/>
      <c r="Q25" s="922"/>
      <c r="R25" s="922"/>
      <c r="S25" s="922"/>
      <c r="T25" s="922"/>
      <c r="U25" s="922"/>
      <c r="V25" s="922"/>
      <c r="W25" s="922"/>
      <c r="X25" s="922"/>
      <c r="Y25" s="922"/>
      <c r="Z25" s="106"/>
      <c r="AA25" s="106"/>
      <c r="AB25" s="106"/>
      <c r="AC25" s="106"/>
      <c r="AD25" s="106"/>
    </row>
    <row r="26" spans="1:30" s="104" customFormat="1" ht="27" customHeight="1" x14ac:dyDescent="0.25">
      <c r="A26" s="922" t="s">
        <v>397</v>
      </c>
      <c r="B26" s="922"/>
      <c r="C26" s="922"/>
      <c r="D26" s="922"/>
      <c r="E26" s="922"/>
      <c r="F26" s="922"/>
      <c r="G26" s="922"/>
      <c r="H26" s="922"/>
      <c r="I26" s="922"/>
      <c r="J26" s="922"/>
      <c r="K26" s="922"/>
      <c r="L26" s="922"/>
      <c r="M26" s="922"/>
      <c r="N26" s="922"/>
      <c r="O26" s="922"/>
      <c r="P26" s="922"/>
      <c r="Q26" s="922"/>
      <c r="R26" s="922"/>
      <c r="S26" s="922"/>
      <c r="T26" s="922"/>
      <c r="U26" s="922"/>
      <c r="V26" s="922"/>
      <c r="W26" s="922"/>
      <c r="X26" s="922"/>
      <c r="Y26" s="922"/>
      <c r="Z26" s="106"/>
      <c r="AA26" s="106"/>
      <c r="AB26" s="106"/>
      <c r="AC26" s="106"/>
      <c r="AD26" s="106"/>
    </row>
    <row r="27" spans="1:30" s="104" customFormat="1" ht="18" customHeight="1" x14ac:dyDescent="0.25">
      <c r="A27" s="922" t="s">
        <v>356</v>
      </c>
      <c r="B27" s="922"/>
      <c r="C27" s="922"/>
      <c r="D27" s="922"/>
      <c r="E27" s="922"/>
      <c r="F27" s="922"/>
      <c r="G27" s="922"/>
      <c r="H27" s="922"/>
      <c r="I27" s="922"/>
      <c r="J27" s="922"/>
      <c r="K27" s="922"/>
      <c r="L27" s="922"/>
      <c r="M27" s="922"/>
      <c r="N27" s="922"/>
      <c r="O27" s="922"/>
      <c r="P27" s="922"/>
      <c r="Q27" s="922"/>
      <c r="R27" s="922"/>
      <c r="S27" s="922"/>
      <c r="T27" s="922"/>
      <c r="U27" s="922"/>
      <c r="V27" s="922"/>
      <c r="W27" s="922"/>
      <c r="X27" s="922"/>
      <c r="Y27" s="922"/>
      <c r="Z27" s="106"/>
      <c r="AA27" s="106"/>
      <c r="AB27" s="106"/>
      <c r="AC27" s="106"/>
      <c r="AD27" s="106"/>
    </row>
    <row r="28" spans="1:30" s="104" customFormat="1" ht="33" customHeight="1" x14ac:dyDescent="0.25">
      <c r="A28" s="922" t="s">
        <v>398</v>
      </c>
      <c r="B28" s="922"/>
      <c r="C28" s="922"/>
      <c r="D28" s="922"/>
      <c r="E28" s="922"/>
      <c r="F28" s="922"/>
      <c r="G28" s="922"/>
      <c r="H28" s="922"/>
      <c r="I28" s="922"/>
      <c r="J28" s="922"/>
      <c r="K28" s="922"/>
      <c r="L28" s="922"/>
      <c r="M28" s="922"/>
      <c r="N28" s="922"/>
      <c r="O28" s="922"/>
      <c r="P28" s="922"/>
      <c r="Q28" s="922"/>
      <c r="R28" s="922"/>
      <c r="S28" s="922"/>
      <c r="T28" s="922"/>
      <c r="U28" s="922"/>
      <c r="V28" s="922"/>
      <c r="W28" s="922"/>
      <c r="X28" s="922"/>
      <c r="Y28" s="922"/>
      <c r="Z28" s="106"/>
      <c r="AA28" s="106"/>
      <c r="AB28" s="106"/>
      <c r="AC28" s="106"/>
      <c r="AD28" s="106"/>
    </row>
    <row r="29" spans="1:30" s="117" customFormat="1" ht="13.5" customHeight="1" x14ac:dyDescent="0.25">
      <c r="A29" s="922" t="s">
        <v>400</v>
      </c>
      <c r="B29" s="922"/>
      <c r="C29" s="922"/>
      <c r="D29" s="922"/>
      <c r="E29" s="922"/>
      <c r="F29" s="922"/>
      <c r="G29" s="922"/>
      <c r="H29" s="922"/>
      <c r="I29" s="922"/>
      <c r="J29" s="922"/>
      <c r="K29" s="922"/>
      <c r="L29" s="922"/>
      <c r="M29" s="922"/>
      <c r="N29" s="922"/>
      <c r="O29" s="922"/>
      <c r="P29" s="922"/>
      <c r="Q29" s="922"/>
      <c r="R29" s="922"/>
      <c r="S29" s="922"/>
      <c r="T29" s="922"/>
      <c r="U29" s="922"/>
      <c r="V29" s="922"/>
      <c r="W29" s="922"/>
      <c r="X29" s="922"/>
      <c r="Y29" s="922"/>
      <c r="Z29" s="651"/>
      <c r="AA29" s="651"/>
      <c r="AB29" s="651"/>
      <c r="AC29" s="651"/>
      <c r="AD29" s="651"/>
    </row>
    <row r="30" spans="1:30" s="117" customFormat="1" ht="15" customHeight="1" x14ac:dyDescent="0.25">
      <c r="A30" s="922" t="s">
        <v>402</v>
      </c>
      <c r="B30" s="922"/>
      <c r="C30" s="922"/>
      <c r="D30" s="922"/>
      <c r="E30" s="922"/>
      <c r="F30" s="922"/>
      <c r="G30" s="922"/>
      <c r="H30" s="922"/>
      <c r="I30" s="922"/>
      <c r="J30" s="922"/>
      <c r="K30" s="922"/>
      <c r="L30" s="922"/>
      <c r="M30" s="922"/>
      <c r="N30" s="922"/>
      <c r="O30" s="922"/>
      <c r="P30" s="922"/>
      <c r="Q30" s="922"/>
      <c r="R30" s="922"/>
      <c r="S30" s="922"/>
      <c r="T30" s="922"/>
      <c r="U30" s="922"/>
      <c r="V30" s="922"/>
      <c r="W30" s="922"/>
      <c r="X30" s="922"/>
      <c r="Y30" s="922"/>
      <c r="Z30" s="651"/>
      <c r="AA30" s="651"/>
      <c r="AB30" s="651"/>
      <c r="AC30" s="651"/>
      <c r="AD30" s="651"/>
    </row>
    <row r="31" spans="1:30" s="114" customFormat="1" ht="14.25" customHeight="1" x14ac:dyDescent="0.25">
      <c r="A31" s="741" t="s">
        <v>403</v>
      </c>
      <c r="B31" s="741"/>
      <c r="C31" s="741"/>
      <c r="D31" s="741"/>
      <c r="E31" s="741"/>
      <c r="F31" s="741"/>
      <c r="G31" s="741"/>
      <c r="H31" s="741"/>
      <c r="I31" s="741"/>
      <c r="J31" s="741"/>
      <c r="K31" s="741"/>
      <c r="L31" s="741"/>
      <c r="M31" s="741"/>
      <c r="N31" s="741"/>
      <c r="O31" s="741"/>
      <c r="P31" s="741"/>
      <c r="Q31" s="741"/>
      <c r="R31" s="741"/>
      <c r="S31" s="741"/>
      <c r="T31" s="741"/>
      <c r="U31" s="741"/>
      <c r="V31" s="741"/>
      <c r="W31" s="741"/>
      <c r="X31" s="741"/>
      <c r="Y31" s="741"/>
      <c r="Z31" s="633"/>
      <c r="AA31" s="633"/>
      <c r="AB31" s="633"/>
      <c r="AC31" s="633"/>
      <c r="AD31" s="633"/>
    </row>
    <row r="32" spans="1:30" s="114" customFormat="1" ht="14.25" customHeight="1" x14ac:dyDescent="0.25">
      <c r="A32" s="741" t="s">
        <v>404</v>
      </c>
      <c r="B32" s="741"/>
      <c r="C32" s="741"/>
      <c r="D32" s="741"/>
      <c r="E32" s="741"/>
      <c r="F32" s="741"/>
      <c r="G32" s="741"/>
      <c r="H32" s="741"/>
      <c r="I32" s="741"/>
      <c r="J32" s="741"/>
      <c r="K32" s="741"/>
      <c r="L32" s="741"/>
      <c r="M32" s="741"/>
      <c r="N32" s="741"/>
      <c r="O32" s="741"/>
      <c r="P32" s="741"/>
      <c r="Q32" s="741"/>
      <c r="R32" s="741"/>
      <c r="S32" s="741"/>
      <c r="T32" s="741"/>
      <c r="U32" s="741"/>
      <c r="V32" s="741"/>
      <c r="W32" s="741"/>
      <c r="X32" s="741"/>
      <c r="Y32" s="741"/>
      <c r="Z32" s="633"/>
      <c r="AA32" s="633"/>
      <c r="AB32" s="633"/>
      <c r="AC32" s="633"/>
      <c r="AD32" s="633"/>
    </row>
    <row r="33" spans="1:32" s="114" customFormat="1" ht="14.25" customHeight="1" x14ac:dyDescent="0.25">
      <c r="A33" s="741" t="s">
        <v>405</v>
      </c>
      <c r="B33" s="741"/>
      <c r="C33" s="741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633"/>
      <c r="AA33" s="633"/>
      <c r="AB33" s="633"/>
      <c r="AC33" s="633"/>
      <c r="AD33" s="633"/>
    </row>
    <row r="34" spans="1:32" s="114" customFormat="1" ht="12" customHeight="1" x14ac:dyDescent="0.25">
      <c r="A34" s="521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633"/>
      <c r="AA34" s="633"/>
      <c r="AB34" s="633"/>
      <c r="AC34" s="633"/>
      <c r="AD34" s="633"/>
    </row>
    <row r="35" spans="1:32" s="113" customFormat="1" ht="18.75" customHeight="1" x14ac:dyDescent="0.25">
      <c r="A35" s="795" t="s">
        <v>406</v>
      </c>
      <c r="B35" s="795"/>
      <c r="C35" s="795"/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795"/>
      <c r="O35" s="795"/>
      <c r="P35" s="795"/>
      <c r="Q35" s="795"/>
      <c r="R35" s="795"/>
      <c r="S35" s="795"/>
      <c r="T35" s="795"/>
      <c r="U35" s="795"/>
      <c r="Z35" s="633"/>
      <c r="AA35" s="633"/>
      <c r="AB35" s="633"/>
      <c r="AC35" s="633"/>
      <c r="AD35" s="633"/>
    </row>
    <row r="36" spans="1:32" s="113" customFormat="1" ht="11.25" customHeight="1" x14ac:dyDescent="0.25">
      <c r="A36" s="526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Z36" s="633"/>
      <c r="AA36" s="633"/>
      <c r="AB36" s="633"/>
      <c r="AC36" s="633"/>
      <c r="AD36" s="633"/>
    </row>
    <row r="37" spans="1:32" ht="22.5" customHeight="1" x14ac:dyDescent="0.3">
      <c r="A37" s="531" t="s">
        <v>311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11"/>
      <c r="S37" s="83"/>
      <c r="T37" s="83"/>
      <c r="U37" s="11"/>
      <c r="V37" s="12"/>
      <c r="W37" s="11"/>
      <c r="X37" s="11"/>
      <c r="Y37" s="11"/>
    </row>
    <row r="38" spans="1:32" ht="20.25" customHeight="1" x14ac:dyDescent="0.25">
      <c r="A38" s="899" t="s">
        <v>36</v>
      </c>
      <c r="B38" s="901" t="s">
        <v>37</v>
      </c>
      <c r="C38" s="901" t="s">
        <v>362</v>
      </c>
      <c r="D38" s="14" t="s">
        <v>38</v>
      </c>
      <c r="E38" s="14" t="s">
        <v>39</v>
      </c>
      <c r="F38" s="15" t="s">
        <v>40</v>
      </c>
      <c r="G38" s="15" t="s">
        <v>41</v>
      </c>
      <c r="H38" s="14" t="s">
        <v>42</v>
      </c>
      <c r="I38" s="14" t="s">
        <v>43</v>
      </c>
      <c r="J38" s="14" t="s">
        <v>44</v>
      </c>
      <c r="K38" s="14" t="s">
        <v>76</v>
      </c>
      <c r="L38" s="14" t="s">
        <v>77</v>
      </c>
      <c r="M38" s="15" t="s">
        <v>45</v>
      </c>
      <c r="N38" s="16" t="s">
        <v>78</v>
      </c>
      <c r="O38" s="16" t="s">
        <v>79</v>
      </c>
      <c r="P38" s="15" t="s">
        <v>80</v>
      </c>
      <c r="Q38" s="14" t="s">
        <v>81</v>
      </c>
      <c r="R38" s="14" t="s">
        <v>82</v>
      </c>
      <c r="S38" s="14" t="s">
        <v>83</v>
      </c>
      <c r="T38" s="14" t="s">
        <v>84</v>
      </c>
      <c r="U38" s="902" t="s">
        <v>85</v>
      </c>
      <c r="V38" s="904" t="s">
        <v>49</v>
      </c>
      <c r="W38" s="17" t="s">
        <v>50</v>
      </c>
      <c r="X38" s="897" t="s">
        <v>51</v>
      </c>
      <c r="Y38" s="898"/>
    </row>
    <row r="39" spans="1:32" ht="26.25" customHeight="1" x14ac:dyDescent="0.25">
      <c r="A39" s="900"/>
      <c r="B39" s="901"/>
      <c r="C39" s="901"/>
      <c r="D39" s="19"/>
      <c r="E39" s="20"/>
      <c r="F39" s="21"/>
      <c r="G39" s="21"/>
      <c r="H39" s="20"/>
      <c r="I39" s="20"/>
      <c r="J39" s="20"/>
      <c r="K39" s="20"/>
      <c r="L39" s="20"/>
      <c r="M39" s="21"/>
      <c r="N39" s="22" t="s">
        <v>52</v>
      </c>
      <c r="O39" s="22" t="s">
        <v>53</v>
      </c>
      <c r="P39" s="21"/>
      <c r="Q39" s="20"/>
      <c r="R39" s="20" t="s">
        <v>86</v>
      </c>
      <c r="S39" s="84"/>
      <c r="T39" s="84"/>
      <c r="U39" s="903"/>
      <c r="V39" s="905"/>
      <c r="W39" s="20"/>
      <c r="X39" s="18" t="s">
        <v>54</v>
      </c>
      <c r="Y39" s="13" t="s">
        <v>53</v>
      </c>
    </row>
    <row r="40" spans="1:32" ht="22.5" customHeight="1" x14ac:dyDescent="0.25">
      <c r="A40" s="25">
        <v>1</v>
      </c>
      <c r="B40" s="24">
        <v>2</v>
      </c>
      <c r="C40" s="24">
        <v>3</v>
      </c>
      <c r="D40" s="23">
        <v>4</v>
      </c>
      <c r="E40" s="23">
        <v>5</v>
      </c>
      <c r="F40" s="25">
        <v>6</v>
      </c>
      <c r="G40" s="25">
        <v>7</v>
      </c>
      <c r="H40" s="23">
        <v>8</v>
      </c>
      <c r="I40" s="23">
        <v>9</v>
      </c>
      <c r="J40" s="23">
        <v>10</v>
      </c>
      <c r="K40" s="23">
        <v>11</v>
      </c>
      <c r="L40" s="23">
        <v>12</v>
      </c>
      <c r="M40" s="25">
        <v>13</v>
      </c>
      <c r="N40" s="25">
        <v>14</v>
      </c>
      <c r="O40" s="25">
        <v>15</v>
      </c>
      <c r="P40" s="25">
        <v>16</v>
      </c>
      <c r="Q40" s="23">
        <v>17</v>
      </c>
      <c r="R40" s="23">
        <v>18</v>
      </c>
      <c r="S40" s="26">
        <v>19</v>
      </c>
      <c r="T40" s="26">
        <v>20</v>
      </c>
      <c r="U40" s="26">
        <v>21</v>
      </c>
      <c r="V40" s="26">
        <v>22</v>
      </c>
      <c r="W40" s="26">
        <v>23</v>
      </c>
      <c r="X40" s="23">
        <v>24</v>
      </c>
      <c r="Y40" s="23">
        <v>25</v>
      </c>
      <c r="AC40" s="91" t="s">
        <v>277</v>
      </c>
      <c r="AF40" s="86" t="s">
        <v>278</v>
      </c>
    </row>
    <row r="41" spans="1:32" ht="15" customHeight="1" x14ac:dyDescent="0.25">
      <c r="A41" s="910" t="s">
        <v>89</v>
      </c>
      <c r="B41" s="911"/>
      <c r="C41" s="911"/>
      <c r="D41" s="911"/>
      <c r="E41" s="911"/>
      <c r="F41" s="911"/>
      <c r="G41" s="911"/>
      <c r="H41" s="911"/>
      <c r="I41" s="911"/>
      <c r="J41" s="911"/>
      <c r="K41" s="911"/>
      <c r="L41" s="911"/>
      <c r="M41" s="911"/>
      <c r="N41" s="911"/>
      <c r="O41" s="911"/>
      <c r="P41" s="911"/>
      <c r="Q41" s="911"/>
      <c r="R41" s="911"/>
      <c r="S41" s="911"/>
      <c r="T41" s="911"/>
      <c r="U41" s="911"/>
      <c r="V41" s="911"/>
      <c r="W41" s="911"/>
      <c r="X41" s="911"/>
      <c r="Y41" s="912"/>
    </row>
    <row r="42" spans="1:32" ht="15" customHeight="1" x14ac:dyDescent="0.25">
      <c r="A42" s="888" t="s">
        <v>16</v>
      </c>
      <c r="B42" s="889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90"/>
      <c r="Z42" s="419"/>
      <c r="AA42" s="419"/>
      <c r="AB42" s="419"/>
    </row>
    <row r="43" spans="1:32" ht="22.5" customHeight="1" x14ac:dyDescent="0.25">
      <c r="A43" s="906">
        <v>8026</v>
      </c>
      <c r="B43" s="337" t="s">
        <v>275</v>
      </c>
      <c r="C43" s="346" t="s">
        <v>18</v>
      </c>
      <c r="D43" s="329">
        <v>0.05</v>
      </c>
      <c r="E43" s="329">
        <v>0.03</v>
      </c>
      <c r="F43" s="347">
        <v>1.4</v>
      </c>
      <c r="G43" s="329">
        <v>1</v>
      </c>
      <c r="H43" s="329">
        <v>0.01</v>
      </c>
      <c r="I43" s="329" t="s">
        <v>55</v>
      </c>
      <c r="J43" s="329">
        <v>0.5</v>
      </c>
      <c r="K43" s="329" t="s">
        <v>55</v>
      </c>
      <c r="L43" s="329" t="s">
        <v>55</v>
      </c>
      <c r="M43" s="329">
        <v>0.5</v>
      </c>
      <c r="N43" s="329">
        <v>15</v>
      </c>
      <c r="O43" s="329">
        <f>(77349)*0.1*1.6</f>
        <v>12375.840000000002</v>
      </c>
      <c r="P43" s="329" t="s">
        <v>55</v>
      </c>
      <c r="Q43" s="329" t="s">
        <v>55</v>
      </c>
      <c r="R43" s="329" t="s">
        <v>55</v>
      </c>
      <c r="S43" s="329" t="s">
        <v>55</v>
      </c>
      <c r="T43" s="329" t="s">
        <v>55</v>
      </c>
      <c r="U43" s="894" t="s">
        <v>93</v>
      </c>
      <c r="V43" s="894">
        <v>2908</v>
      </c>
      <c r="W43" s="337">
        <v>0.85</v>
      </c>
      <c r="X43" s="337">
        <f>ROUND((D43*E43*F43*G43*H43*J43*N43*1000000*M43/3600)*(1-W43),4)</f>
        <v>3.3E-3</v>
      </c>
      <c r="Y43" s="337">
        <f>ROUND((D43*E43*F43*G43*H43*J43*M43*O43)*(1-W43),4)</f>
        <v>9.7000000000000003E-3</v>
      </c>
      <c r="Z43" s="419"/>
      <c r="AA43" s="27" t="s">
        <v>302</v>
      </c>
      <c r="AB43" s="419"/>
      <c r="AC43" s="91" t="s">
        <v>303</v>
      </c>
      <c r="AE43" s="650"/>
    </row>
    <row r="44" spans="1:32" ht="24" customHeight="1" x14ac:dyDescent="0.25">
      <c r="A44" s="907"/>
      <c r="B44" s="346" t="s">
        <v>88</v>
      </c>
      <c r="C44" s="346" t="s">
        <v>18</v>
      </c>
      <c r="D44" s="329">
        <v>0.05</v>
      </c>
      <c r="E44" s="329">
        <v>0.03</v>
      </c>
      <c r="F44" s="347">
        <v>1.4</v>
      </c>
      <c r="G44" s="329">
        <v>1</v>
      </c>
      <c r="H44" s="329">
        <v>0.01</v>
      </c>
      <c r="I44" s="329" t="s">
        <v>55</v>
      </c>
      <c r="J44" s="329">
        <v>0.5</v>
      </c>
      <c r="K44" s="329">
        <v>1</v>
      </c>
      <c r="L44" s="329">
        <v>0.1</v>
      </c>
      <c r="M44" s="329">
        <v>0.5</v>
      </c>
      <c r="N44" s="329">
        <v>608</v>
      </c>
      <c r="O44" s="329">
        <f>AA44*1.6+AC44*1.6</f>
        <v>375060.80000000005</v>
      </c>
      <c r="P44" s="329" t="s">
        <v>55</v>
      </c>
      <c r="Q44" s="329" t="s">
        <v>55</v>
      </c>
      <c r="R44" s="329" t="s">
        <v>55</v>
      </c>
      <c r="S44" s="329" t="s">
        <v>55</v>
      </c>
      <c r="T44" s="329" t="s">
        <v>55</v>
      </c>
      <c r="U44" s="909"/>
      <c r="V44" s="909"/>
      <c r="W44" s="329">
        <v>0</v>
      </c>
      <c r="X44" s="329">
        <f>ROUND((D44*E44*F44*G44*H44*J44*K44*L44*N44*1000000*M44/3600)*(1-W44),4)</f>
        <v>8.8700000000000001E-2</v>
      </c>
      <c r="Y44" s="329">
        <f>ROUND((D44*E44*F44*G44*H44*J44*K44*L44*M44*O44)*(1-W44),4)</f>
        <v>0.19689999999999999</v>
      </c>
      <c r="Z44" s="419"/>
      <c r="AA44" s="27">
        <v>231293</v>
      </c>
      <c r="AB44" s="419"/>
      <c r="AC44" s="91">
        <v>3120</v>
      </c>
      <c r="AD44" s="652"/>
      <c r="AE44" s="650"/>
    </row>
    <row r="45" spans="1:32" ht="24" x14ac:dyDescent="0.25">
      <c r="A45" s="907"/>
      <c r="B45" s="346" t="s">
        <v>90</v>
      </c>
      <c r="C45" s="346" t="s">
        <v>18</v>
      </c>
      <c r="D45" s="329">
        <v>0.05</v>
      </c>
      <c r="E45" s="329">
        <v>0.03</v>
      </c>
      <c r="F45" s="347">
        <v>1.4</v>
      </c>
      <c r="G45" s="329">
        <v>1</v>
      </c>
      <c r="H45" s="329">
        <v>0.01</v>
      </c>
      <c r="I45" s="329" t="s">
        <v>55</v>
      </c>
      <c r="J45" s="329">
        <v>0.5</v>
      </c>
      <c r="K45" s="329" t="s">
        <v>55</v>
      </c>
      <c r="L45" s="329" t="s">
        <v>55</v>
      </c>
      <c r="M45" s="329">
        <v>0.5</v>
      </c>
      <c r="N45" s="329">
        <v>608</v>
      </c>
      <c r="O45" s="329">
        <f>AA44*1.6+AC44*1.6</f>
        <v>375060.80000000005</v>
      </c>
      <c r="P45" s="329" t="s">
        <v>55</v>
      </c>
      <c r="Q45" s="329" t="s">
        <v>55</v>
      </c>
      <c r="R45" s="329" t="s">
        <v>55</v>
      </c>
      <c r="S45" s="329" t="s">
        <v>55</v>
      </c>
      <c r="T45" s="329" t="s">
        <v>55</v>
      </c>
      <c r="U45" s="909"/>
      <c r="V45" s="909"/>
      <c r="W45" s="329">
        <v>0.85</v>
      </c>
      <c r="X45" s="329">
        <f>ROUND((D45*E45*F45*G45*H45*J45*N45*1000000*M45/3600)*(1-W45),4)</f>
        <v>0.13300000000000001</v>
      </c>
      <c r="Y45" s="329">
        <f>ROUND((D45*E45*F45*G45*H45*J45*M45*O45)*(1-W45),4)</f>
        <v>0.2954</v>
      </c>
      <c r="Z45" s="419"/>
      <c r="AA45" s="27" t="s">
        <v>91</v>
      </c>
      <c r="AB45" s="27"/>
      <c r="AC45" s="652"/>
      <c r="AD45" s="652"/>
      <c r="AE45" s="650"/>
    </row>
    <row r="46" spans="1:32" ht="19.5" customHeight="1" x14ac:dyDescent="0.25">
      <c r="A46" s="908"/>
      <c r="B46" s="346" t="s">
        <v>87</v>
      </c>
      <c r="C46" s="346" t="s">
        <v>18</v>
      </c>
      <c r="D46" s="329" t="s">
        <v>55</v>
      </c>
      <c r="E46" s="329" t="s">
        <v>55</v>
      </c>
      <c r="F46" s="347">
        <v>1.4</v>
      </c>
      <c r="G46" s="329">
        <v>1</v>
      </c>
      <c r="H46" s="329">
        <v>0.01</v>
      </c>
      <c r="I46" s="329">
        <v>1.3</v>
      </c>
      <c r="J46" s="329">
        <v>0.5</v>
      </c>
      <c r="K46" s="329" t="s">
        <v>55</v>
      </c>
      <c r="L46" s="329" t="s">
        <v>55</v>
      </c>
      <c r="M46" s="329" t="s">
        <v>55</v>
      </c>
      <c r="N46" s="329" t="s">
        <v>55</v>
      </c>
      <c r="O46" s="329" t="s">
        <v>55</v>
      </c>
      <c r="P46" s="329">
        <v>2E-3</v>
      </c>
      <c r="Q46" s="329">
        <f>ROUND(((AA44+AC44)/AA46),0)</f>
        <v>46883</v>
      </c>
      <c r="R46" s="329">
        <v>24</v>
      </c>
      <c r="S46" s="329">
        <v>75</v>
      </c>
      <c r="T46" s="329">
        <v>115</v>
      </c>
      <c r="U46" s="896"/>
      <c r="V46" s="896"/>
      <c r="W46" s="329">
        <v>0.85</v>
      </c>
      <c r="X46" s="329">
        <f>ROUND((F46*G46*H46*I46*J46*P46*Q46)*(1-W46),4)</f>
        <v>0.128</v>
      </c>
      <c r="Y46" s="329">
        <f>ROUND((((X46*R46*(365-T46-S46)*3600)/1000000)),4)</f>
        <v>1.9354</v>
      </c>
      <c r="Z46" s="419"/>
      <c r="AA46" s="653">
        <v>5</v>
      </c>
      <c r="AB46" s="27"/>
      <c r="AC46" s="652"/>
      <c r="AD46" s="652"/>
      <c r="AE46" s="650"/>
    </row>
    <row r="47" spans="1:32" ht="40.5" customHeight="1" x14ac:dyDescent="0.25">
      <c r="A47" s="886" t="s">
        <v>557</v>
      </c>
      <c r="B47" s="887"/>
      <c r="C47" s="887"/>
      <c r="D47" s="887"/>
      <c r="E47" s="887"/>
      <c r="F47" s="887"/>
      <c r="G47" s="887"/>
      <c r="H47" s="887"/>
      <c r="I47" s="887"/>
      <c r="J47" s="887"/>
      <c r="K47" s="887"/>
      <c r="L47" s="887"/>
      <c r="M47" s="887"/>
      <c r="N47" s="887"/>
      <c r="O47" s="887"/>
      <c r="P47" s="887"/>
      <c r="Q47" s="887"/>
      <c r="R47" s="887"/>
      <c r="S47" s="887"/>
      <c r="T47" s="887"/>
      <c r="U47" s="348" t="s">
        <v>93</v>
      </c>
      <c r="V47" s="348">
        <v>2908</v>
      </c>
      <c r="W47" s="348"/>
      <c r="X47" s="348">
        <f>X44+X46+X43+X45</f>
        <v>0.35299999999999998</v>
      </c>
      <c r="Y47" s="348">
        <f>SUM(Y43:Y46)</f>
        <v>2.4374000000000002</v>
      </c>
      <c r="Z47" s="654">
        <f>X47</f>
        <v>0.35299999999999998</v>
      </c>
      <c r="AA47" s="654">
        <f>Y47</f>
        <v>2.4374000000000002</v>
      </c>
      <c r="AB47" s="419"/>
      <c r="AC47" s="652"/>
      <c r="AD47" s="652"/>
      <c r="AE47" s="650"/>
    </row>
    <row r="48" spans="1:32" ht="15.75" x14ac:dyDescent="0.25">
      <c r="A48" s="888" t="s">
        <v>97</v>
      </c>
      <c r="B48" s="889"/>
      <c r="C48" s="889"/>
      <c r="D48" s="889"/>
      <c r="E48" s="889"/>
      <c r="F48" s="889"/>
      <c r="G48" s="889"/>
      <c r="H48" s="889"/>
      <c r="I48" s="889"/>
      <c r="J48" s="889"/>
      <c r="K48" s="889"/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889"/>
      <c r="X48" s="889"/>
      <c r="Y48" s="890"/>
      <c r="Z48" s="419"/>
      <c r="AA48" s="419"/>
      <c r="AB48" s="419"/>
      <c r="AC48" s="652"/>
      <c r="AD48" s="652"/>
      <c r="AE48" s="650"/>
    </row>
    <row r="49" spans="1:33" ht="24" customHeight="1" x14ac:dyDescent="0.25">
      <c r="A49" s="924">
        <v>8026</v>
      </c>
      <c r="B49" s="346" t="s">
        <v>88</v>
      </c>
      <c r="C49" s="346" t="s">
        <v>18</v>
      </c>
      <c r="D49" s="329">
        <v>0.05</v>
      </c>
      <c r="E49" s="329">
        <v>0.03</v>
      </c>
      <c r="F49" s="347">
        <v>1.4</v>
      </c>
      <c r="G49" s="329">
        <v>1</v>
      </c>
      <c r="H49" s="329">
        <v>0.01</v>
      </c>
      <c r="I49" s="329" t="s">
        <v>55</v>
      </c>
      <c r="J49" s="329">
        <v>0.5</v>
      </c>
      <c r="K49" s="329">
        <v>1</v>
      </c>
      <c r="L49" s="329">
        <v>0.1</v>
      </c>
      <c r="M49" s="329">
        <v>0.5</v>
      </c>
      <c r="N49" s="329">
        <v>64</v>
      </c>
      <c r="O49" s="329">
        <f>AC49*1.6</f>
        <v>14976</v>
      </c>
      <c r="P49" s="329" t="s">
        <v>55</v>
      </c>
      <c r="Q49" s="329" t="s">
        <v>55</v>
      </c>
      <c r="R49" s="329" t="s">
        <v>55</v>
      </c>
      <c r="S49" s="329" t="s">
        <v>55</v>
      </c>
      <c r="T49" s="329" t="s">
        <v>55</v>
      </c>
      <c r="U49" s="894" t="s">
        <v>93</v>
      </c>
      <c r="V49" s="919">
        <v>2908</v>
      </c>
      <c r="W49" s="329">
        <v>0</v>
      </c>
      <c r="X49" s="329">
        <f>ROUND((D49*E49*F49*G49*H49*J49*K49*L49*N49*1000000*M49/3600)*(1-W49),4)</f>
        <v>9.2999999999999992E-3</v>
      </c>
      <c r="Y49" s="329">
        <f>ROUND((D49*E49*F49*G49*H49*J49*K49*L49*M49*O49)*(1-W49),4)</f>
        <v>7.9000000000000008E-3</v>
      </c>
      <c r="Z49" s="419"/>
      <c r="AA49" s="419"/>
      <c r="AB49" s="419"/>
      <c r="AC49" s="91">
        <v>9360</v>
      </c>
      <c r="AD49" s="652"/>
      <c r="AE49" s="650"/>
    </row>
    <row r="50" spans="1:33" ht="24" x14ac:dyDescent="0.25">
      <c r="A50" s="811"/>
      <c r="B50" s="346" t="s">
        <v>90</v>
      </c>
      <c r="C50" s="346" t="s">
        <v>18</v>
      </c>
      <c r="D50" s="329">
        <v>0.05</v>
      </c>
      <c r="E50" s="329">
        <v>0.03</v>
      </c>
      <c r="F50" s="347">
        <v>1.4</v>
      </c>
      <c r="G50" s="329">
        <v>1</v>
      </c>
      <c r="H50" s="329">
        <v>0.01</v>
      </c>
      <c r="I50" s="329" t="s">
        <v>55</v>
      </c>
      <c r="J50" s="329">
        <v>0.5</v>
      </c>
      <c r="K50" s="329" t="s">
        <v>55</v>
      </c>
      <c r="L50" s="329" t="s">
        <v>55</v>
      </c>
      <c r="M50" s="329">
        <v>0.5</v>
      </c>
      <c r="N50" s="329">
        <v>64</v>
      </c>
      <c r="O50" s="329">
        <f>AC49*1.6</f>
        <v>14976</v>
      </c>
      <c r="P50" s="329" t="s">
        <v>55</v>
      </c>
      <c r="Q50" s="329" t="s">
        <v>55</v>
      </c>
      <c r="R50" s="329" t="s">
        <v>55</v>
      </c>
      <c r="S50" s="329" t="s">
        <v>55</v>
      </c>
      <c r="T50" s="329" t="s">
        <v>55</v>
      </c>
      <c r="U50" s="909"/>
      <c r="V50" s="920"/>
      <c r="W50" s="329">
        <v>0.85</v>
      </c>
      <c r="X50" s="329">
        <f>ROUND((D50*E50*F50*G50*H50*J50*N50*1000000*M50/3600)*(1-W50),4)</f>
        <v>1.4E-2</v>
      </c>
      <c r="Y50" s="329">
        <f>ROUND((D50*E50*F50*G50*H50*J50*M50*O50)*(1-W50),4)</f>
        <v>1.18E-2</v>
      </c>
      <c r="Z50" s="419"/>
      <c r="AA50" s="419"/>
      <c r="AB50" s="419"/>
      <c r="AC50" s="652"/>
      <c r="AD50" s="652"/>
      <c r="AE50" s="650"/>
    </row>
    <row r="51" spans="1:33" ht="19.5" customHeight="1" x14ac:dyDescent="0.25">
      <c r="A51" s="803"/>
      <c r="B51" s="346" t="s">
        <v>87</v>
      </c>
      <c r="C51" s="346" t="s">
        <v>18</v>
      </c>
      <c r="D51" s="329" t="s">
        <v>55</v>
      </c>
      <c r="E51" s="329" t="s">
        <v>55</v>
      </c>
      <c r="F51" s="347">
        <v>1.4</v>
      </c>
      <c r="G51" s="329">
        <v>1</v>
      </c>
      <c r="H51" s="329">
        <v>0.01</v>
      </c>
      <c r="I51" s="329">
        <v>1.3</v>
      </c>
      <c r="J51" s="329">
        <v>0.5</v>
      </c>
      <c r="K51" s="329" t="s">
        <v>55</v>
      </c>
      <c r="L51" s="329" t="s">
        <v>55</v>
      </c>
      <c r="M51" s="329" t="s">
        <v>55</v>
      </c>
      <c r="N51" s="329" t="s">
        <v>55</v>
      </c>
      <c r="O51" s="329" t="s">
        <v>55</v>
      </c>
      <c r="P51" s="329">
        <v>2E-3</v>
      </c>
      <c r="Q51" s="329">
        <f>ROUND(((AA44+AC44)/AA46),0)+AC49/AA46</f>
        <v>48755</v>
      </c>
      <c r="R51" s="329">
        <v>24</v>
      </c>
      <c r="S51" s="329">
        <v>144</v>
      </c>
      <c r="T51" s="329">
        <v>129</v>
      </c>
      <c r="U51" s="896"/>
      <c r="V51" s="921"/>
      <c r="W51" s="337">
        <v>0.85</v>
      </c>
      <c r="X51" s="347">
        <f>ROUND((F51*G51*H51*I51*J51*P51*Q51)*(1-W51),4)</f>
        <v>0.1331</v>
      </c>
      <c r="Y51" s="329">
        <f>ROUND((((X51*R51*(365-T51-S51)*3600)/1000000)),4)</f>
        <v>1.0580000000000001</v>
      </c>
      <c r="AC51" s="652"/>
      <c r="AD51" s="652"/>
      <c r="AE51" s="650"/>
    </row>
    <row r="52" spans="1:33" ht="43.5" customHeight="1" x14ac:dyDescent="0.25">
      <c r="A52" s="886" t="s">
        <v>557</v>
      </c>
      <c r="B52" s="887"/>
      <c r="C52" s="887"/>
      <c r="D52" s="887"/>
      <c r="E52" s="887"/>
      <c r="F52" s="887"/>
      <c r="G52" s="887"/>
      <c r="H52" s="887"/>
      <c r="I52" s="887"/>
      <c r="J52" s="887"/>
      <c r="K52" s="887"/>
      <c r="L52" s="887"/>
      <c r="M52" s="887"/>
      <c r="N52" s="887"/>
      <c r="O52" s="887"/>
      <c r="P52" s="887"/>
      <c r="Q52" s="887"/>
      <c r="R52" s="887"/>
      <c r="S52" s="887"/>
      <c r="T52" s="887"/>
      <c r="U52" s="348" t="s">
        <v>93</v>
      </c>
      <c r="V52" s="348">
        <v>2908</v>
      </c>
      <c r="W52" s="348"/>
      <c r="X52" s="348">
        <f>X49+X50+X51</f>
        <v>0.15639999999999998</v>
      </c>
      <c r="Y52" s="348">
        <f>SUM(Y49:Y51)</f>
        <v>1.0777000000000001</v>
      </c>
      <c r="Z52" s="654">
        <f>X52</f>
        <v>0.15639999999999998</v>
      </c>
      <c r="AA52" s="654">
        <f>Y52</f>
        <v>1.0777000000000001</v>
      </c>
      <c r="AC52" s="652"/>
      <c r="AD52" s="652"/>
      <c r="AE52" s="650"/>
    </row>
    <row r="53" spans="1:33" ht="15.75" x14ac:dyDescent="0.25">
      <c r="A53" s="888" t="s">
        <v>98</v>
      </c>
      <c r="B53" s="889"/>
      <c r="C53" s="889"/>
      <c r="D53" s="889"/>
      <c r="E53" s="889"/>
      <c r="F53" s="889"/>
      <c r="G53" s="889"/>
      <c r="H53" s="889"/>
      <c r="I53" s="889"/>
      <c r="J53" s="889"/>
      <c r="K53" s="889"/>
      <c r="L53" s="889"/>
      <c r="M53" s="889"/>
      <c r="N53" s="889"/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90"/>
      <c r="AC53" s="652"/>
      <c r="AD53" s="652"/>
      <c r="AE53" s="650"/>
    </row>
    <row r="54" spans="1:33" ht="24" x14ac:dyDescent="0.25">
      <c r="A54" s="918">
        <v>8026</v>
      </c>
      <c r="B54" s="346" t="s">
        <v>88</v>
      </c>
      <c r="C54" s="346" t="s">
        <v>18</v>
      </c>
      <c r="D54" s="329">
        <v>0.05</v>
      </c>
      <c r="E54" s="329">
        <v>0.03</v>
      </c>
      <c r="F54" s="347">
        <v>1.4</v>
      </c>
      <c r="G54" s="329">
        <v>1</v>
      </c>
      <c r="H54" s="329">
        <v>0.01</v>
      </c>
      <c r="I54" s="329" t="s">
        <v>55</v>
      </c>
      <c r="J54" s="329">
        <v>0.5</v>
      </c>
      <c r="K54" s="329">
        <v>1</v>
      </c>
      <c r="L54" s="329">
        <v>0.1</v>
      </c>
      <c r="M54" s="329">
        <v>0.5</v>
      </c>
      <c r="N54" s="329">
        <v>32</v>
      </c>
      <c r="O54" s="329">
        <f>AC55*1.6</f>
        <v>4992</v>
      </c>
      <c r="P54" s="329" t="s">
        <v>55</v>
      </c>
      <c r="Q54" s="329" t="s">
        <v>55</v>
      </c>
      <c r="R54" s="329" t="s">
        <v>55</v>
      </c>
      <c r="S54" s="329" t="s">
        <v>55</v>
      </c>
      <c r="T54" s="329" t="s">
        <v>55</v>
      </c>
      <c r="U54" s="894" t="s">
        <v>93</v>
      </c>
      <c r="V54" s="919">
        <v>2908</v>
      </c>
      <c r="W54" s="329">
        <v>0</v>
      </c>
      <c r="X54" s="329">
        <f>ROUND((D54*E54*F54*G54*H54*J54*K54*L54*N54*1000000*M54/3600)*(1-W54),4)</f>
        <v>4.7000000000000002E-3</v>
      </c>
      <c r="Y54" s="329">
        <f>ROUND((D54*E54*F54*G54*H54*J54*K54*L54*M54*O54)*(1-W54),4)</f>
        <v>2.5999999999999999E-3</v>
      </c>
      <c r="AC54" s="652"/>
      <c r="AD54" s="652"/>
      <c r="AE54" s="650"/>
    </row>
    <row r="55" spans="1:33" ht="24" x14ac:dyDescent="0.25">
      <c r="A55" s="845"/>
      <c r="B55" s="346" t="s">
        <v>90</v>
      </c>
      <c r="C55" s="346" t="s">
        <v>18</v>
      </c>
      <c r="D55" s="329">
        <v>0.05</v>
      </c>
      <c r="E55" s="329">
        <v>0.03</v>
      </c>
      <c r="F55" s="347">
        <v>1.4</v>
      </c>
      <c r="G55" s="329">
        <v>1</v>
      </c>
      <c r="H55" s="329">
        <v>0.01</v>
      </c>
      <c r="I55" s="329" t="s">
        <v>55</v>
      </c>
      <c r="J55" s="329">
        <v>0.5</v>
      </c>
      <c r="K55" s="329" t="s">
        <v>55</v>
      </c>
      <c r="L55" s="329" t="s">
        <v>55</v>
      </c>
      <c r="M55" s="329">
        <v>0.5</v>
      </c>
      <c r="N55" s="329">
        <v>32</v>
      </c>
      <c r="O55" s="329">
        <f>AC55*1.6</f>
        <v>4992</v>
      </c>
      <c r="P55" s="329" t="s">
        <v>55</v>
      </c>
      <c r="Q55" s="329" t="s">
        <v>55</v>
      </c>
      <c r="R55" s="329" t="s">
        <v>55</v>
      </c>
      <c r="S55" s="329" t="s">
        <v>55</v>
      </c>
      <c r="T55" s="329" t="s">
        <v>55</v>
      </c>
      <c r="U55" s="909"/>
      <c r="V55" s="920"/>
      <c r="W55" s="329">
        <v>0.85</v>
      </c>
      <c r="X55" s="329">
        <f>ROUND((D55*E55*F55*G55*H55*J55*N55*1000000*M55/3600)*(1-W55),4)</f>
        <v>7.0000000000000001E-3</v>
      </c>
      <c r="Y55" s="329">
        <f>ROUND((D55*E55*F55*G55*H55*J55*M55*O55)*(1-W55),4)</f>
        <v>3.8999999999999998E-3</v>
      </c>
      <c r="AC55" s="91">
        <v>3120</v>
      </c>
      <c r="AD55" s="652"/>
      <c r="AE55" s="650"/>
    </row>
    <row r="56" spans="1:33" x14ac:dyDescent="0.25">
      <c r="A56" s="859"/>
      <c r="B56" s="346" t="s">
        <v>87</v>
      </c>
      <c r="C56" s="346" t="s">
        <v>18</v>
      </c>
      <c r="D56" s="329" t="s">
        <v>55</v>
      </c>
      <c r="E56" s="329" t="s">
        <v>55</v>
      </c>
      <c r="F56" s="347">
        <v>1.4</v>
      </c>
      <c r="G56" s="329">
        <v>1</v>
      </c>
      <c r="H56" s="329">
        <v>0.01</v>
      </c>
      <c r="I56" s="329">
        <v>1.3</v>
      </c>
      <c r="J56" s="329">
        <v>0.5</v>
      </c>
      <c r="K56" s="329" t="s">
        <v>55</v>
      </c>
      <c r="L56" s="329" t="s">
        <v>55</v>
      </c>
      <c r="M56" s="329" t="s">
        <v>55</v>
      </c>
      <c r="N56" s="329" t="s">
        <v>55</v>
      </c>
      <c r="O56" s="329" t="s">
        <v>55</v>
      </c>
      <c r="P56" s="329">
        <v>2E-3</v>
      </c>
      <c r="Q56" s="329">
        <f>AC49/AA46+AC55/AA46</f>
        <v>2496</v>
      </c>
      <c r="R56" s="329">
        <v>24</v>
      </c>
      <c r="S56" s="329">
        <v>144</v>
      </c>
      <c r="T56" s="329">
        <v>129</v>
      </c>
      <c r="U56" s="896"/>
      <c r="V56" s="921"/>
      <c r="W56" s="337">
        <v>0.85</v>
      </c>
      <c r="X56" s="347">
        <f>ROUND((F56*G56*H56*I56*J56*P56*Q56)*(1-W56),4)</f>
        <v>6.7999999999999996E-3</v>
      </c>
      <c r="Y56" s="329">
        <f>ROUND((((X56*R56*(365-T56-S56)*3600)/1000000)),4)</f>
        <v>5.4100000000000002E-2</v>
      </c>
      <c r="AC56" s="652"/>
      <c r="AD56" s="652"/>
      <c r="AE56" s="650"/>
    </row>
    <row r="57" spans="1:33" ht="39" customHeight="1" x14ac:dyDescent="0.25">
      <c r="A57" s="886" t="s">
        <v>557</v>
      </c>
      <c r="B57" s="887"/>
      <c r="C57" s="887"/>
      <c r="D57" s="887"/>
      <c r="E57" s="887"/>
      <c r="F57" s="887"/>
      <c r="G57" s="887"/>
      <c r="H57" s="887"/>
      <c r="I57" s="887"/>
      <c r="J57" s="887"/>
      <c r="K57" s="887"/>
      <c r="L57" s="887"/>
      <c r="M57" s="887"/>
      <c r="N57" s="887"/>
      <c r="O57" s="887"/>
      <c r="P57" s="887"/>
      <c r="Q57" s="887"/>
      <c r="R57" s="887"/>
      <c r="S57" s="887"/>
      <c r="T57" s="887"/>
      <c r="U57" s="348" t="s">
        <v>93</v>
      </c>
      <c r="V57" s="348">
        <v>2908</v>
      </c>
      <c r="W57" s="348"/>
      <c r="X57" s="348">
        <f>X54+X55+X56</f>
        <v>1.8499999999999999E-2</v>
      </c>
      <c r="Y57" s="348">
        <f>SUM(Y54:Y56)</f>
        <v>6.0600000000000001E-2</v>
      </c>
      <c r="Z57" s="654">
        <f>X57</f>
        <v>1.8499999999999999E-2</v>
      </c>
      <c r="AA57" s="654">
        <f>Y57</f>
        <v>6.0600000000000001E-2</v>
      </c>
      <c r="AC57" s="652"/>
      <c r="AD57" s="652"/>
      <c r="AE57" s="650"/>
    </row>
    <row r="58" spans="1:33" ht="15.75" x14ac:dyDescent="0.25">
      <c r="A58" s="888" t="s">
        <v>304</v>
      </c>
      <c r="B58" s="889"/>
      <c r="C58" s="889"/>
      <c r="D58" s="889"/>
      <c r="E58" s="889"/>
      <c r="F58" s="889"/>
      <c r="G58" s="889"/>
      <c r="H58" s="889"/>
      <c r="I58" s="889"/>
      <c r="J58" s="889"/>
      <c r="K58" s="889"/>
      <c r="L58" s="889"/>
      <c r="M58" s="889"/>
      <c r="N58" s="889"/>
      <c r="O58" s="889"/>
      <c r="P58" s="889"/>
      <c r="Q58" s="889"/>
      <c r="R58" s="889"/>
      <c r="S58" s="889"/>
      <c r="T58" s="889"/>
      <c r="U58" s="889"/>
      <c r="V58" s="889"/>
      <c r="W58" s="889"/>
      <c r="X58" s="889"/>
      <c r="Y58" s="890"/>
      <c r="AC58" s="652"/>
      <c r="AD58" s="652"/>
      <c r="AE58" s="650"/>
    </row>
    <row r="59" spans="1:33" ht="28.5" customHeight="1" x14ac:dyDescent="0.25">
      <c r="A59" s="532" t="s">
        <v>558</v>
      </c>
      <c r="B59" s="346" t="s">
        <v>87</v>
      </c>
      <c r="C59" s="346" t="s">
        <v>18</v>
      </c>
      <c r="D59" s="329" t="s">
        <v>55</v>
      </c>
      <c r="E59" s="329" t="s">
        <v>55</v>
      </c>
      <c r="F59" s="347">
        <v>1.4</v>
      </c>
      <c r="G59" s="329">
        <v>1</v>
      </c>
      <c r="H59" s="329">
        <v>0.01</v>
      </c>
      <c r="I59" s="329">
        <v>1.3</v>
      </c>
      <c r="J59" s="329">
        <v>0.5</v>
      </c>
      <c r="K59" s="329" t="s">
        <v>55</v>
      </c>
      <c r="L59" s="329" t="s">
        <v>55</v>
      </c>
      <c r="M59" s="329" t="s">
        <v>55</v>
      </c>
      <c r="N59" s="329" t="s">
        <v>55</v>
      </c>
      <c r="O59" s="329" t="s">
        <v>55</v>
      </c>
      <c r="P59" s="329">
        <v>2E-3</v>
      </c>
      <c r="Q59" s="329">
        <f>AC55/AA46</f>
        <v>624</v>
      </c>
      <c r="R59" s="329">
        <v>24</v>
      </c>
      <c r="S59" s="329">
        <v>144</v>
      </c>
      <c r="T59" s="329">
        <v>129</v>
      </c>
      <c r="U59" s="328"/>
      <c r="V59" s="328"/>
      <c r="W59" s="329">
        <v>0.85</v>
      </c>
      <c r="X59" s="329">
        <f>ROUND((F59*G59*H59*I59*J59*P59*Q59)*(1-W59),4)</f>
        <v>1.6999999999999999E-3</v>
      </c>
      <c r="Y59" s="329">
        <f>ROUND((((X59*R59*(365-T59-S59)*3600)/1000000)),4)</f>
        <v>1.35E-2</v>
      </c>
      <c r="Z59" s="654">
        <f>X59</f>
        <v>1.6999999999999999E-3</v>
      </c>
      <c r="AA59" s="654">
        <f>Y59</f>
        <v>1.35E-2</v>
      </c>
      <c r="AC59" s="652"/>
      <c r="AD59" s="652"/>
      <c r="AE59" s="650"/>
    </row>
    <row r="60" spans="1:33" ht="15.75" x14ac:dyDescent="0.25">
      <c r="A60" s="888" t="s">
        <v>103</v>
      </c>
      <c r="B60" s="889"/>
      <c r="C60" s="889"/>
      <c r="D60" s="889"/>
      <c r="E60" s="889"/>
      <c r="F60" s="889"/>
      <c r="G60" s="889"/>
      <c r="H60" s="889"/>
      <c r="I60" s="889"/>
      <c r="J60" s="889"/>
      <c r="K60" s="889"/>
      <c r="L60" s="889"/>
      <c r="M60" s="889"/>
      <c r="N60" s="889"/>
      <c r="O60" s="889"/>
      <c r="P60" s="889"/>
      <c r="Q60" s="889"/>
      <c r="R60" s="889"/>
      <c r="S60" s="889"/>
      <c r="T60" s="889"/>
      <c r="U60" s="889"/>
      <c r="V60" s="889"/>
      <c r="W60" s="889"/>
      <c r="X60" s="889"/>
      <c r="Y60" s="890"/>
      <c r="AC60" s="652"/>
      <c r="AD60" s="652"/>
      <c r="AE60" s="650"/>
    </row>
    <row r="61" spans="1:33" ht="24" x14ac:dyDescent="0.25">
      <c r="A61" s="915">
        <v>8026</v>
      </c>
      <c r="B61" s="346" t="s">
        <v>88</v>
      </c>
      <c r="C61" s="346" t="s">
        <v>18</v>
      </c>
      <c r="D61" s="329">
        <v>0.05</v>
      </c>
      <c r="E61" s="329">
        <v>0.03</v>
      </c>
      <c r="F61" s="347">
        <v>1.4</v>
      </c>
      <c r="G61" s="329">
        <v>1</v>
      </c>
      <c r="H61" s="329">
        <v>0.01</v>
      </c>
      <c r="I61" s="329" t="s">
        <v>55</v>
      </c>
      <c r="J61" s="329">
        <v>0.5</v>
      </c>
      <c r="K61" s="329">
        <v>1</v>
      </c>
      <c r="L61" s="329">
        <v>0.1</v>
      </c>
      <c r="M61" s="329">
        <v>0.5</v>
      </c>
      <c r="N61" s="329">
        <v>64</v>
      </c>
      <c r="O61" s="329">
        <f>AA61*1.6</f>
        <v>50712</v>
      </c>
      <c r="P61" s="329" t="s">
        <v>55</v>
      </c>
      <c r="Q61" s="329" t="s">
        <v>55</v>
      </c>
      <c r="R61" s="329" t="s">
        <v>55</v>
      </c>
      <c r="S61" s="329" t="s">
        <v>55</v>
      </c>
      <c r="T61" s="329" t="s">
        <v>55</v>
      </c>
      <c r="U61" s="894" t="s">
        <v>93</v>
      </c>
      <c r="V61" s="894">
        <v>2908</v>
      </c>
      <c r="W61" s="329">
        <v>0</v>
      </c>
      <c r="X61" s="329">
        <f>ROUND((D61*E61*F61*G61*H61*J61*K61*L61*N61*1000000*M61/3600)*(1-W61),4)</f>
        <v>9.2999999999999992E-3</v>
      </c>
      <c r="Y61" s="329">
        <f>ROUND((D61*E61*F61*G61*H61*J61*K61*L61*M61*O61)*(1-W61),4)</f>
        <v>2.6599999999999999E-2</v>
      </c>
      <c r="Z61" s="419"/>
      <c r="AA61" s="27">
        <v>31695</v>
      </c>
      <c r="AB61" s="419"/>
      <c r="AC61" s="652"/>
      <c r="AD61" s="652"/>
      <c r="AE61" s="650"/>
      <c r="AF61" s="87"/>
      <c r="AG61" s="87"/>
    </row>
    <row r="62" spans="1:33" ht="24" x14ac:dyDescent="0.25">
      <c r="A62" s="916"/>
      <c r="B62" s="346" t="s">
        <v>90</v>
      </c>
      <c r="C62" s="346" t="s">
        <v>18</v>
      </c>
      <c r="D62" s="329">
        <v>0.05</v>
      </c>
      <c r="E62" s="329">
        <v>0.03</v>
      </c>
      <c r="F62" s="347">
        <v>1.4</v>
      </c>
      <c r="G62" s="329">
        <v>1</v>
      </c>
      <c r="H62" s="329">
        <v>0.01</v>
      </c>
      <c r="I62" s="329" t="s">
        <v>55</v>
      </c>
      <c r="J62" s="329">
        <v>0.5</v>
      </c>
      <c r="K62" s="329" t="s">
        <v>55</v>
      </c>
      <c r="L62" s="329" t="s">
        <v>55</v>
      </c>
      <c r="M62" s="329">
        <v>0.5</v>
      </c>
      <c r="N62" s="329">
        <v>64</v>
      </c>
      <c r="O62" s="329">
        <f>AA61*1.6</f>
        <v>50712</v>
      </c>
      <c r="P62" s="329" t="s">
        <v>55</v>
      </c>
      <c r="Q62" s="329" t="s">
        <v>55</v>
      </c>
      <c r="R62" s="329" t="s">
        <v>55</v>
      </c>
      <c r="S62" s="329" t="s">
        <v>55</v>
      </c>
      <c r="T62" s="329" t="s">
        <v>55</v>
      </c>
      <c r="U62" s="895"/>
      <c r="V62" s="895"/>
      <c r="W62" s="329">
        <v>0.85</v>
      </c>
      <c r="X62" s="329">
        <f>ROUND((D62*E62*F62*G62*H62*J62*N62*1000000*M62/3600)*(1-W62),4)</f>
        <v>1.4E-2</v>
      </c>
      <c r="Y62" s="329">
        <f>ROUND((D62*E62*F62*G62*H62*J62*M62*O62)*(1-W62),4)</f>
        <v>3.9899999999999998E-2</v>
      </c>
      <c r="Z62" s="419"/>
      <c r="AA62" s="27" t="s">
        <v>91</v>
      </c>
      <c r="AB62" s="419"/>
      <c r="AC62" s="652"/>
      <c r="AD62" s="652"/>
      <c r="AE62" s="650"/>
      <c r="AF62" s="87"/>
      <c r="AG62" s="87"/>
    </row>
    <row r="63" spans="1:33" ht="20.25" customHeight="1" x14ac:dyDescent="0.25">
      <c r="A63" s="917"/>
      <c r="B63" s="346" t="s">
        <v>87</v>
      </c>
      <c r="C63" s="346" t="s">
        <v>18</v>
      </c>
      <c r="D63" s="329" t="s">
        <v>55</v>
      </c>
      <c r="E63" s="329" t="s">
        <v>55</v>
      </c>
      <c r="F63" s="347">
        <v>1.4</v>
      </c>
      <c r="G63" s="329">
        <v>1</v>
      </c>
      <c r="H63" s="329">
        <v>0.01</v>
      </c>
      <c r="I63" s="329">
        <v>1.3</v>
      </c>
      <c r="J63" s="329">
        <v>0.5</v>
      </c>
      <c r="K63" s="329" t="s">
        <v>55</v>
      </c>
      <c r="L63" s="329" t="s">
        <v>55</v>
      </c>
      <c r="M63" s="329" t="s">
        <v>55</v>
      </c>
      <c r="N63" s="329" t="s">
        <v>55</v>
      </c>
      <c r="O63" s="329" t="s">
        <v>55</v>
      </c>
      <c r="P63" s="329">
        <v>2E-3</v>
      </c>
      <c r="Q63" s="329">
        <f>ROUND((AA61/AA63),0)</f>
        <v>6339</v>
      </c>
      <c r="R63" s="329">
        <v>24</v>
      </c>
      <c r="S63" s="329">
        <v>75</v>
      </c>
      <c r="T63" s="329">
        <v>129</v>
      </c>
      <c r="U63" s="896"/>
      <c r="V63" s="896"/>
      <c r="W63" s="329">
        <v>0.85</v>
      </c>
      <c r="X63" s="329">
        <f>ROUND((F63*G63*H63*I63*J63*P63*Q63)*(1-W63),4)</f>
        <v>1.7299999999999999E-2</v>
      </c>
      <c r="Y63" s="329">
        <f>ROUND((((X63*R63*(365-T63-S63)*3600)/1000000)),4)</f>
        <v>0.24060000000000001</v>
      </c>
      <c r="Z63" s="419"/>
      <c r="AA63" s="653">
        <v>5</v>
      </c>
      <c r="AB63" s="419"/>
      <c r="AC63" s="652"/>
      <c r="AD63" s="652"/>
      <c r="AE63" s="650"/>
      <c r="AF63" s="87"/>
      <c r="AG63" s="87"/>
    </row>
    <row r="64" spans="1:33" ht="38.25" customHeight="1" x14ac:dyDescent="0.25">
      <c r="A64" s="886" t="s">
        <v>557</v>
      </c>
      <c r="B64" s="887"/>
      <c r="C64" s="887"/>
      <c r="D64" s="887"/>
      <c r="E64" s="887"/>
      <c r="F64" s="887"/>
      <c r="G64" s="887"/>
      <c r="H64" s="887"/>
      <c r="I64" s="887"/>
      <c r="J64" s="887"/>
      <c r="K64" s="887"/>
      <c r="L64" s="887"/>
      <c r="M64" s="887"/>
      <c r="N64" s="887"/>
      <c r="O64" s="887"/>
      <c r="P64" s="887"/>
      <c r="Q64" s="887"/>
      <c r="R64" s="887"/>
      <c r="S64" s="887"/>
      <c r="T64" s="887"/>
      <c r="U64" s="348" t="s">
        <v>93</v>
      </c>
      <c r="V64" s="348">
        <v>2908</v>
      </c>
      <c r="W64" s="348"/>
      <c r="X64" s="348">
        <f>X61+X63+X62</f>
        <v>4.0599999999999997E-2</v>
      </c>
      <c r="Y64" s="348">
        <f>SUM(Y61:Y63)</f>
        <v>0.30710000000000004</v>
      </c>
      <c r="Z64" s="654">
        <f>X64</f>
        <v>4.0599999999999997E-2</v>
      </c>
      <c r="AA64" s="654">
        <f>Y64</f>
        <v>0.30710000000000004</v>
      </c>
      <c r="AB64" s="419"/>
      <c r="AC64" s="652"/>
      <c r="AD64" s="652"/>
      <c r="AE64" s="650"/>
      <c r="AF64" s="87"/>
      <c r="AG64" s="87"/>
    </row>
    <row r="65" spans="1:33" ht="15.75" x14ac:dyDescent="0.25">
      <c r="A65" s="888" t="s">
        <v>105</v>
      </c>
      <c r="B65" s="889"/>
      <c r="C65" s="889"/>
      <c r="D65" s="889"/>
      <c r="E65" s="889"/>
      <c r="F65" s="889"/>
      <c r="G65" s="889"/>
      <c r="H65" s="889"/>
      <c r="I65" s="889"/>
      <c r="J65" s="889"/>
      <c r="K65" s="889"/>
      <c r="L65" s="889"/>
      <c r="M65" s="889"/>
      <c r="N65" s="889"/>
      <c r="O65" s="889"/>
      <c r="P65" s="889"/>
      <c r="Q65" s="889"/>
      <c r="R65" s="889"/>
      <c r="S65" s="889"/>
      <c r="T65" s="889"/>
      <c r="U65" s="889"/>
      <c r="V65" s="889"/>
      <c r="W65" s="889"/>
      <c r="X65" s="889"/>
      <c r="Y65" s="890"/>
      <c r="Z65" s="419"/>
      <c r="AA65" s="419"/>
      <c r="AB65" s="419"/>
      <c r="AC65" s="652"/>
      <c r="AD65" s="652"/>
      <c r="AE65" s="650"/>
      <c r="AF65" s="87"/>
      <c r="AG65" s="87"/>
    </row>
    <row r="66" spans="1:33" ht="25.5" customHeight="1" x14ac:dyDescent="0.25">
      <c r="A66" s="532" t="s">
        <v>558</v>
      </c>
      <c r="B66" s="346" t="s">
        <v>87</v>
      </c>
      <c r="C66" s="346" t="s">
        <v>18</v>
      </c>
      <c r="D66" s="329" t="s">
        <v>55</v>
      </c>
      <c r="E66" s="329" t="s">
        <v>55</v>
      </c>
      <c r="F66" s="347">
        <v>1.4</v>
      </c>
      <c r="G66" s="329">
        <v>1</v>
      </c>
      <c r="H66" s="329">
        <v>0.01</v>
      </c>
      <c r="I66" s="329">
        <v>1.3</v>
      </c>
      <c r="J66" s="329">
        <v>0.5</v>
      </c>
      <c r="K66" s="329" t="s">
        <v>55</v>
      </c>
      <c r="L66" s="329" t="s">
        <v>55</v>
      </c>
      <c r="M66" s="329" t="s">
        <v>55</v>
      </c>
      <c r="N66" s="329" t="s">
        <v>55</v>
      </c>
      <c r="O66" s="329" t="s">
        <v>55</v>
      </c>
      <c r="P66" s="329">
        <v>2E-3</v>
      </c>
      <c r="Q66" s="329">
        <f>ROUND((AA61/AA63),0)</f>
        <v>6339</v>
      </c>
      <c r="R66" s="329">
        <v>24</v>
      </c>
      <c r="S66" s="329">
        <v>144</v>
      </c>
      <c r="T66" s="329">
        <v>129</v>
      </c>
      <c r="U66" s="328"/>
      <c r="V66" s="328"/>
      <c r="W66" s="329">
        <v>0.85</v>
      </c>
      <c r="X66" s="329">
        <f>ROUND((F66*G66*H66*I66*J66*P66*Q66)*(1-W66),4)</f>
        <v>1.7299999999999999E-2</v>
      </c>
      <c r="Y66" s="329">
        <f>ROUND((((X66*R66*(365-T66-S66)*3600)/1000000)),4)</f>
        <v>0.13750000000000001</v>
      </c>
      <c r="Z66" s="654">
        <f>X66</f>
        <v>1.7299999999999999E-2</v>
      </c>
      <c r="AA66" s="654">
        <f>Y66</f>
        <v>0.13750000000000001</v>
      </c>
      <c r="AB66" s="419"/>
      <c r="AC66" s="652"/>
      <c r="AD66" s="652"/>
      <c r="AE66" s="650"/>
      <c r="AF66" s="87"/>
      <c r="AG66" s="87"/>
    </row>
    <row r="67" spans="1:33" ht="15.75" x14ac:dyDescent="0.25">
      <c r="A67" s="888" t="s">
        <v>109</v>
      </c>
      <c r="B67" s="889"/>
      <c r="C67" s="889"/>
      <c r="D67" s="889"/>
      <c r="E67" s="889"/>
      <c r="F67" s="889"/>
      <c r="G67" s="889"/>
      <c r="H67" s="889"/>
      <c r="I67" s="889"/>
      <c r="J67" s="889"/>
      <c r="K67" s="889"/>
      <c r="L67" s="889"/>
      <c r="M67" s="889"/>
      <c r="N67" s="889"/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90"/>
      <c r="Z67" s="419"/>
      <c r="AA67" s="419"/>
      <c r="AB67" s="419"/>
      <c r="AC67" s="652"/>
      <c r="AD67" s="652"/>
      <c r="AE67" s="650"/>
      <c r="AF67" s="87"/>
      <c r="AG67" s="87"/>
    </row>
    <row r="68" spans="1:33" ht="24" x14ac:dyDescent="0.25">
      <c r="A68" s="891">
        <v>8026</v>
      </c>
      <c r="B68" s="346" t="s">
        <v>88</v>
      </c>
      <c r="C68" s="346" t="s">
        <v>18</v>
      </c>
      <c r="D68" s="329">
        <v>0.05</v>
      </c>
      <c r="E68" s="329">
        <v>0.03</v>
      </c>
      <c r="F68" s="347">
        <v>1.4</v>
      </c>
      <c r="G68" s="329">
        <v>1</v>
      </c>
      <c r="H68" s="329">
        <v>0.01</v>
      </c>
      <c r="I68" s="329" t="s">
        <v>55</v>
      </c>
      <c r="J68" s="329">
        <v>0.5</v>
      </c>
      <c r="K68" s="329">
        <v>1</v>
      </c>
      <c r="L68" s="329">
        <v>0.1</v>
      </c>
      <c r="M68" s="329">
        <v>0.5</v>
      </c>
      <c r="N68" s="329">
        <v>144</v>
      </c>
      <c r="O68" s="329">
        <f>AA68*1.6</f>
        <v>43656</v>
      </c>
      <c r="P68" s="329" t="s">
        <v>55</v>
      </c>
      <c r="Q68" s="329" t="s">
        <v>55</v>
      </c>
      <c r="R68" s="329" t="s">
        <v>55</v>
      </c>
      <c r="S68" s="329" t="s">
        <v>55</v>
      </c>
      <c r="T68" s="329" t="s">
        <v>55</v>
      </c>
      <c r="U68" s="894" t="s">
        <v>93</v>
      </c>
      <c r="V68" s="894">
        <v>2908</v>
      </c>
      <c r="W68" s="329">
        <v>0</v>
      </c>
      <c r="X68" s="329">
        <f>ROUND((D68*E68*F68*G68*H68*J68*K68*L68*N68*1000000*M68/3600)*(1-W68),4)</f>
        <v>2.1000000000000001E-2</v>
      </c>
      <c r="Y68" s="329">
        <f>ROUND((D68*E68*F68*G68*H68*J68*K68*L68*M68*O68)*(1-W68),4)</f>
        <v>2.29E-2</v>
      </c>
      <c r="Z68" s="419"/>
      <c r="AA68" s="27">
        <v>27285</v>
      </c>
      <c r="AB68" s="419"/>
      <c r="AC68" s="652"/>
      <c r="AD68" s="652"/>
      <c r="AE68" s="650"/>
      <c r="AF68" s="87"/>
      <c r="AG68" s="87"/>
    </row>
    <row r="69" spans="1:33" ht="24" x14ac:dyDescent="0.25">
      <c r="A69" s="892"/>
      <c r="B69" s="346" t="s">
        <v>90</v>
      </c>
      <c r="C69" s="346" t="s">
        <v>18</v>
      </c>
      <c r="D69" s="329">
        <v>0.05</v>
      </c>
      <c r="E69" s="329">
        <v>0.03</v>
      </c>
      <c r="F69" s="347">
        <v>1.4</v>
      </c>
      <c r="G69" s="329">
        <v>1</v>
      </c>
      <c r="H69" s="329">
        <v>0.01</v>
      </c>
      <c r="I69" s="329" t="s">
        <v>55</v>
      </c>
      <c r="J69" s="329">
        <v>0.5</v>
      </c>
      <c r="K69" s="329" t="s">
        <v>55</v>
      </c>
      <c r="L69" s="329" t="s">
        <v>55</v>
      </c>
      <c r="M69" s="329">
        <v>0.5</v>
      </c>
      <c r="N69" s="329">
        <v>144</v>
      </c>
      <c r="O69" s="329">
        <f>AA68*1.6</f>
        <v>43656</v>
      </c>
      <c r="P69" s="329" t="s">
        <v>55</v>
      </c>
      <c r="Q69" s="329" t="s">
        <v>55</v>
      </c>
      <c r="R69" s="329" t="s">
        <v>55</v>
      </c>
      <c r="S69" s="329" t="s">
        <v>55</v>
      </c>
      <c r="T69" s="329" t="s">
        <v>55</v>
      </c>
      <c r="U69" s="895"/>
      <c r="V69" s="895"/>
      <c r="W69" s="329">
        <v>0.85</v>
      </c>
      <c r="X69" s="329">
        <f>ROUND((D69*E69*F69*G69*H69*J69*N69*1000000*M69/3600)*(1-W69),4)</f>
        <v>3.15E-2</v>
      </c>
      <c r="Y69" s="329">
        <f>ROUND((D69*E69*F69*G69*H69*J69*M69*O69)*(1-W69),4)</f>
        <v>3.44E-2</v>
      </c>
      <c r="Z69" s="419"/>
      <c r="AA69" s="27" t="s">
        <v>91</v>
      </c>
      <c r="AB69" s="419"/>
      <c r="AC69" s="652"/>
      <c r="AD69" s="652"/>
      <c r="AE69" s="650"/>
      <c r="AF69" s="87"/>
      <c r="AG69" s="87"/>
    </row>
    <row r="70" spans="1:33" x14ac:dyDescent="0.25">
      <c r="A70" s="893"/>
      <c r="B70" s="346" t="s">
        <v>87</v>
      </c>
      <c r="C70" s="346" t="s">
        <v>18</v>
      </c>
      <c r="D70" s="329" t="s">
        <v>55</v>
      </c>
      <c r="E70" s="329" t="s">
        <v>55</v>
      </c>
      <c r="F70" s="347">
        <v>1.4</v>
      </c>
      <c r="G70" s="329">
        <v>1</v>
      </c>
      <c r="H70" s="329">
        <v>0.01</v>
      </c>
      <c r="I70" s="329">
        <v>1.3</v>
      </c>
      <c r="J70" s="329">
        <v>0.5</v>
      </c>
      <c r="K70" s="329" t="s">
        <v>55</v>
      </c>
      <c r="L70" s="329" t="s">
        <v>55</v>
      </c>
      <c r="M70" s="329" t="s">
        <v>55</v>
      </c>
      <c r="N70" s="329" t="s">
        <v>55</v>
      </c>
      <c r="O70" s="329" t="s">
        <v>55</v>
      </c>
      <c r="P70" s="329">
        <v>2E-3</v>
      </c>
      <c r="Q70" s="329">
        <f>ROUND((AA68/AA70),0)</f>
        <v>5457</v>
      </c>
      <c r="R70" s="329">
        <v>24</v>
      </c>
      <c r="S70" s="329">
        <v>75</v>
      </c>
      <c r="T70" s="329">
        <v>129</v>
      </c>
      <c r="U70" s="896"/>
      <c r="V70" s="896"/>
      <c r="W70" s="329">
        <v>0.85</v>
      </c>
      <c r="X70" s="329">
        <f>ROUND((F70*G70*H70*I70*J70*P70*Q70)*(1-W70),4)</f>
        <v>1.49E-2</v>
      </c>
      <c r="Y70" s="329">
        <f>ROUND((((X70*R70*(365-T70-S70)*3600)/1000000)),4)</f>
        <v>0.20730000000000001</v>
      </c>
      <c r="Z70" s="419"/>
      <c r="AA70" s="653">
        <v>5</v>
      </c>
      <c r="AB70" s="419"/>
      <c r="AC70" s="652"/>
      <c r="AD70" s="652"/>
      <c r="AE70" s="650"/>
      <c r="AF70" s="87"/>
      <c r="AG70" s="87"/>
    </row>
    <row r="71" spans="1:33" ht="38.25" customHeight="1" x14ac:dyDescent="0.25">
      <c r="A71" s="886" t="s">
        <v>557</v>
      </c>
      <c r="B71" s="887"/>
      <c r="C71" s="887"/>
      <c r="D71" s="887"/>
      <c r="E71" s="887"/>
      <c r="F71" s="887"/>
      <c r="G71" s="887"/>
      <c r="H71" s="887"/>
      <c r="I71" s="887"/>
      <c r="J71" s="887"/>
      <c r="K71" s="887"/>
      <c r="L71" s="887"/>
      <c r="M71" s="887"/>
      <c r="N71" s="887"/>
      <c r="O71" s="887"/>
      <c r="P71" s="887"/>
      <c r="Q71" s="887"/>
      <c r="R71" s="887"/>
      <c r="S71" s="887"/>
      <c r="T71" s="887"/>
      <c r="U71" s="348" t="s">
        <v>93</v>
      </c>
      <c r="V71" s="348">
        <v>2908</v>
      </c>
      <c r="W71" s="348"/>
      <c r="X71" s="348">
        <f>X68+X70+X69</f>
        <v>6.7400000000000002E-2</v>
      </c>
      <c r="Y71" s="348">
        <f>SUM(Y68:Y70)</f>
        <v>0.2646</v>
      </c>
      <c r="Z71" s="654">
        <f>X71</f>
        <v>6.7400000000000002E-2</v>
      </c>
      <c r="AA71" s="654">
        <f>Y71</f>
        <v>0.2646</v>
      </c>
      <c r="AB71" s="419"/>
      <c r="AC71" s="652"/>
      <c r="AD71" s="652"/>
      <c r="AE71" s="650"/>
      <c r="AF71" s="87"/>
      <c r="AG71" s="87"/>
    </row>
    <row r="72" spans="1:33" ht="15.75" x14ac:dyDescent="0.25">
      <c r="A72" s="888" t="s">
        <v>111</v>
      </c>
      <c r="B72" s="889"/>
      <c r="C72" s="889"/>
      <c r="D72" s="889"/>
      <c r="E72" s="889"/>
      <c r="F72" s="889"/>
      <c r="G72" s="889"/>
      <c r="H72" s="889"/>
      <c r="I72" s="889"/>
      <c r="J72" s="889"/>
      <c r="K72" s="889"/>
      <c r="L72" s="889"/>
      <c r="M72" s="889"/>
      <c r="N72" s="889"/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90"/>
      <c r="Z72" s="419"/>
      <c r="AA72" s="419"/>
      <c r="AB72" s="419"/>
      <c r="AC72" s="652"/>
      <c r="AD72" s="652"/>
      <c r="AE72" s="650"/>
      <c r="AF72" s="87"/>
      <c r="AG72" s="87"/>
    </row>
    <row r="73" spans="1:33" ht="24.75" customHeight="1" x14ac:dyDescent="0.25">
      <c r="A73" s="532" t="s">
        <v>558</v>
      </c>
      <c r="B73" s="346" t="s">
        <v>87</v>
      </c>
      <c r="C73" s="346" t="s">
        <v>18</v>
      </c>
      <c r="D73" s="329" t="s">
        <v>55</v>
      </c>
      <c r="E73" s="329" t="s">
        <v>55</v>
      </c>
      <c r="F73" s="347">
        <v>1.4</v>
      </c>
      <c r="G73" s="329">
        <v>1</v>
      </c>
      <c r="H73" s="329">
        <v>0.01</v>
      </c>
      <c r="I73" s="329">
        <v>1.3</v>
      </c>
      <c r="J73" s="329">
        <v>0.5</v>
      </c>
      <c r="K73" s="329" t="s">
        <v>55</v>
      </c>
      <c r="L73" s="329" t="s">
        <v>55</v>
      </c>
      <c r="M73" s="329" t="s">
        <v>55</v>
      </c>
      <c r="N73" s="329" t="s">
        <v>55</v>
      </c>
      <c r="O73" s="329" t="s">
        <v>55</v>
      </c>
      <c r="P73" s="329">
        <v>2E-3</v>
      </c>
      <c r="Q73" s="329">
        <f>ROUND((AA68/AA70),0)</f>
        <v>5457</v>
      </c>
      <c r="R73" s="329">
        <v>24</v>
      </c>
      <c r="S73" s="329">
        <v>144</v>
      </c>
      <c r="T73" s="329">
        <v>129</v>
      </c>
      <c r="U73" s="328"/>
      <c r="V73" s="328"/>
      <c r="W73" s="329">
        <v>0.85</v>
      </c>
      <c r="X73" s="329">
        <f>ROUND((F73*G73*H73*I73*J73*P73*Q73)*(1-W73),4)</f>
        <v>1.49E-2</v>
      </c>
      <c r="Y73" s="329">
        <f>ROUND((((X73*R73*(365-T73-S73)*3600)/1000000)),4)</f>
        <v>0.11840000000000001</v>
      </c>
      <c r="Z73" s="654">
        <f>X73</f>
        <v>1.49E-2</v>
      </c>
      <c r="AA73" s="654">
        <f>Y73</f>
        <v>0.11840000000000001</v>
      </c>
      <c r="AB73" s="419"/>
      <c r="AC73" s="652"/>
      <c r="AD73" s="652"/>
      <c r="AE73" s="650"/>
      <c r="AF73" s="87"/>
      <c r="AG73" s="87"/>
    </row>
    <row r="74" spans="1:33" ht="15.75" x14ac:dyDescent="0.25">
      <c r="A74" s="888" t="s">
        <v>112</v>
      </c>
      <c r="B74" s="889"/>
      <c r="C74" s="889"/>
      <c r="D74" s="889"/>
      <c r="E74" s="889"/>
      <c r="F74" s="889"/>
      <c r="G74" s="889"/>
      <c r="H74" s="889"/>
      <c r="I74" s="889"/>
      <c r="J74" s="889"/>
      <c r="K74" s="889"/>
      <c r="L74" s="889"/>
      <c r="M74" s="889"/>
      <c r="N74" s="889"/>
      <c r="O74" s="889"/>
      <c r="P74" s="889"/>
      <c r="Q74" s="889"/>
      <c r="R74" s="889"/>
      <c r="S74" s="889"/>
      <c r="T74" s="889"/>
      <c r="U74" s="889"/>
      <c r="V74" s="889"/>
      <c r="W74" s="889"/>
      <c r="X74" s="889"/>
      <c r="Y74" s="890"/>
      <c r="Z74" s="419"/>
      <c r="AA74" s="419"/>
      <c r="AB74" s="419"/>
      <c r="AC74" s="652"/>
      <c r="AD74" s="652"/>
      <c r="AE74" s="650"/>
      <c r="AF74" s="87"/>
      <c r="AG74" s="87"/>
    </row>
    <row r="75" spans="1:33" ht="24" x14ac:dyDescent="0.25">
      <c r="A75" s="915">
        <v>8026</v>
      </c>
      <c r="B75" s="346" t="s">
        <v>88</v>
      </c>
      <c r="C75" s="346" t="s">
        <v>18</v>
      </c>
      <c r="D75" s="329">
        <v>0.05</v>
      </c>
      <c r="E75" s="329">
        <v>0.03</v>
      </c>
      <c r="F75" s="347">
        <v>1.4</v>
      </c>
      <c r="G75" s="329">
        <v>1</v>
      </c>
      <c r="H75" s="329">
        <v>0.01</v>
      </c>
      <c r="I75" s="329" t="s">
        <v>55</v>
      </c>
      <c r="J75" s="329">
        <v>0.5</v>
      </c>
      <c r="K75" s="329">
        <v>1</v>
      </c>
      <c r="L75" s="329">
        <v>0.1</v>
      </c>
      <c r="M75" s="329">
        <v>0.5</v>
      </c>
      <c r="N75" s="329">
        <v>64</v>
      </c>
      <c r="O75" s="329">
        <f>AA75*1.6</f>
        <v>45840</v>
      </c>
      <c r="P75" s="329" t="s">
        <v>55</v>
      </c>
      <c r="Q75" s="329" t="s">
        <v>55</v>
      </c>
      <c r="R75" s="329" t="s">
        <v>55</v>
      </c>
      <c r="S75" s="329" t="s">
        <v>55</v>
      </c>
      <c r="T75" s="329" t="s">
        <v>55</v>
      </c>
      <c r="U75" s="894" t="s">
        <v>93</v>
      </c>
      <c r="V75" s="894">
        <v>2908</v>
      </c>
      <c r="W75" s="329">
        <v>0</v>
      </c>
      <c r="X75" s="329">
        <f>ROUND((D75*E75*F75*G75*H75*J75*K75*L75*N75*1000000*M75/3600)*(1-W75),4)</f>
        <v>9.2999999999999992E-3</v>
      </c>
      <c r="Y75" s="329">
        <f>ROUND((D75*E75*F75*G75*H75*J75*K75*L75*M75*O75)*(1-W75),4)</f>
        <v>2.41E-2</v>
      </c>
      <c r="Z75" s="419"/>
      <c r="AA75" s="27">
        <v>28650</v>
      </c>
      <c r="AB75" s="419"/>
      <c r="AC75" s="652"/>
      <c r="AD75" s="652"/>
      <c r="AE75" s="650"/>
      <c r="AF75" s="87"/>
      <c r="AG75" s="87"/>
    </row>
    <row r="76" spans="1:33" ht="24" x14ac:dyDescent="0.25">
      <c r="A76" s="916"/>
      <c r="B76" s="346" t="s">
        <v>90</v>
      </c>
      <c r="C76" s="346" t="s">
        <v>18</v>
      </c>
      <c r="D76" s="329">
        <v>0.05</v>
      </c>
      <c r="E76" s="329">
        <v>0.03</v>
      </c>
      <c r="F76" s="347">
        <v>1.4</v>
      </c>
      <c r="G76" s="329">
        <v>1</v>
      </c>
      <c r="H76" s="329">
        <v>0.01</v>
      </c>
      <c r="I76" s="329" t="s">
        <v>55</v>
      </c>
      <c r="J76" s="329">
        <v>0.5</v>
      </c>
      <c r="K76" s="329" t="s">
        <v>55</v>
      </c>
      <c r="L76" s="329" t="s">
        <v>55</v>
      </c>
      <c r="M76" s="329">
        <v>0.5</v>
      </c>
      <c r="N76" s="329">
        <v>64</v>
      </c>
      <c r="O76" s="329">
        <f>AA75*1.6</f>
        <v>45840</v>
      </c>
      <c r="P76" s="329" t="s">
        <v>55</v>
      </c>
      <c r="Q76" s="329" t="s">
        <v>55</v>
      </c>
      <c r="R76" s="329" t="s">
        <v>55</v>
      </c>
      <c r="S76" s="329" t="s">
        <v>55</v>
      </c>
      <c r="T76" s="329" t="s">
        <v>55</v>
      </c>
      <c r="U76" s="895"/>
      <c r="V76" s="895"/>
      <c r="W76" s="329">
        <v>0.85</v>
      </c>
      <c r="X76" s="329">
        <f>ROUND((D76*E76*F76*G76*H76*J76*N76*1000000*M76/3600)*(1-W76),4)</f>
        <v>1.4E-2</v>
      </c>
      <c r="Y76" s="329">
        <f>ROUND((D76*E76*F76*G76*H76*J76*M76*O76)*(1-W76),4)</f>
        <v>3.61E-2</v>
      </c>
      <c r="Z76" s="419"/>
      <c r="AA76" s="27" t="s">
        <v>91</v>
      </c>
      <c r="AB76" s="419"/>
      <c r="AC76" s="652"/>
      <c r="AD76" s="652"/>
      <c r="AE76" s="650"/>
      <c r="AF76" s="87"/>
      <c r="AG76" s="87"/>
    </row>
    <row r="77" spans="1:33" x14ac:dyDescent="0.25">
      <c r="A77" s="917"/>
      <c r="B77" s="346" t="s">
        <v>87</v>
      </c>
      <c r="C77" s="346" t="s">
        <v>18</v>
      </c>
      <c r="D77" s="329" t="s">
        <v>55</v>
      </c>
      <c r="E77" s="329" t="s">
        <v>55</v>
      </c>
      <c r="F77" s="347">
        <v>1.4</v>
      </c>
      <c r="G77" s="329">
        <v>1</v>
      </c>
      <c r="H77" s="329">
        <v>0.01</v>
      </c>
      <c r="I77" s="329">
        <v>1.3</v>
      </c>
      <c r="J77" s="329">
        <v>0.5</v>
      </c>
      <c r="K77" s="329" t="s">
        <v>55</v>
      </c>
      <c r="L77" s="329" t="s">
        <v>55</v>
      </c>
      <c r="M77" s="329" t="s">
        <v>55</v>
      </c>
      <c r="N77" s="329" t="s">
        <v>55</v>
      </c>
      <c r="O77" s="329" t="s">
        <v>55</v>
      </c>
      <c r="P77" s="329">
        <v>2E-3</v>
      </c>
      <c r="Q77" s="329">
        <f>ROUND((AA75/AA77),0)</f>
        <v>5730</v>
      </c>
      <c r="R77" s="329">
        <v>24</v>
      </c>
      <c r="S77" s="329">
        <v>65</v>
      </c>
      <c r="T77" s="329">
        <v>129</v>
      </c>
      <c r="U77" s="896"/>
      <c r="V77" s="896"/>
      <c r="W77" s="329">
        <v>0.85</v>
      </c>
      <c r="X77" s="329">
        <f>ROUND((F77*G77*H77*I77*J77*P77*Q77)*(1-W77),4)</f>
        <v>1.5599999999999999E-2</v>
      </c>
      <c r="Y77" s="329">
        <f>ROUND((((X77*R77*(365-T77-S77)*3600)/1000000)),4)</f>
        <v>0.23050000000000001</v>
      </c>
      <c r="Z77" s="419"/>
      <c r="AA77" s="653">
        <v>5</v>
      </c>
      <c r="AB77" s="419"/>
      <c r="AC77" s="652"/>
      <c r="AD77" s="652"/>
      <c r="AE77" s="650"/>
      <c r="AF77" s="87"/>
      <c r="AG77" s="87"/>
    </row>
    <row r="78" spans="1:33" ht="39" customHeight="1" x14ac:dyDescent="0.25">
      <c r="A78" s="913" t="s">
        <v>557</v>
      </c>
      <c r="B78" s="914"/>
      <c r="C78" s="914"/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348" t="s">
        <v>93</v>
      </c>
      <c r="V78" s="348">
        <v>2908</v>
      </c>
      <c r="W78" s="348"/>
      <c r="X78" s="348">
        <f>X75+X77+X76</f>
        <v>3.8899999999999997E-2</v>
      </c>
      <c r="Y78" s="348">
        <f>SUM(Y75:Y77)</f>
        <v>0.29070000000000001</v>
      </c>
      <c r="Z78" s="654">
        <f>X78</f>
        <v>3.8899999999999997E-2</v>
      </c>
      <c r="AA78" s="654">
        <f>Y78</f>
        <v>0.29070000000000001</v>
      </c>
      <c r="AB78" s="419"/>
      <c r="AC78" s="652"/>
      <c r="AD78" s="652"/>
      <c r="AE78" s="650"/>
      <c r="AF78" s="87"/>
      <c r="AG78" s="87"/>
    </row>
    <row r="79" spans="1:33" ht="15.75" x14ac:dyDescent="0.25">
      <c r="A79" s="888" t="s">
        <v>114</v>
      </c>
      <c r="B79" s="889"/>
      <c r="C79" s="889"/>
      <c r="D79" s="889"/>
      <c r="E79" s="889"/>
      <c r="F79" s="889"/>
      <c r="G79" s="889"/>
      <c r="H79" s="889"/>
      <c r="I79" s="889"/>
      <c r="J79" s="889"/>
      <c r="K79" s="889"/>
      <c r="L79" s="889"/>
      <c r="M79" s="889"/>
      <c r="N79" s="889"/>
      <c r="O79" s="889"/>
      <c r="P79" s="889"/>
      <c r="Q79" s="889"/>
      <c r="R79" s="889"/>
      <c r="S79" s="889"/>
      <c r="T79" s="889"/>
      <c r="U79" s="889"/>
      <c r="V79" s="889"/>
      <c r="W79" s="889"/>
      <c r="X79" s="889"/>
      <c r="Y79" s="890"/>
      <c r="Z79" s="419"/>
      <c r="AA79" s="419"/>
      <c r="AB79" s="419"/>
      <c r="AC79" s="652"/>
      <c r="AD79" s="652"/>
      <c r="AE79" s="650"/>
      <c r="AF79" s="87"/>
      <c r="AG79" s="87"/>
    </row>
    <row r="80" spans="1:33" ht="25.5" customHeight="1" x14ac:dyDescent="0.25">
      <c r="A80" s="532" t="s">
        <v>558</v>
      </c>
      <c r="B80" s="346" t="s">
        <v>87</v>
      </c>
      <c r="C80" s="346" t="s">
        <v>18</v>
      </c>
      <c r="D80" s="329" t="s">
        <v>55</v>
      </c>
      <c r="E80" s="329" t="s">
        <v>55</v>
      </c>
      <c r="F80" s="347">
        <v>1.4</v>
      </c>
      <c r="G80" s="329">
        <v>1</v>
      </c>
      <c r="H80" s="329">
        <v>0.01</v>
      </c>
      <c r="I80" s="329">
        <v>1.3</v>
      </c>
      <c r="J80" s="329">
        <v>0.5</v>
      </c>
      <c r="K80" s="329" t="s">
        <v>55</v>
      </c>
      <c r="L80" s="329" t="s">
        <v>55</v>
      </c>
      <c r="M80" s="329" t="s">
        <v>55</v>
      </c>
      <c r="N80" s="329" t="s">
        <v>55</v>
      </c>
      <c r="O80" s="329" t="s">
        <v>55</v>
      </c>
      <c r="P80" s="329">
        <v>2E-3</v>
      </c>
      <c r="Q80" s="329">
        <f>ROUND((AA75/AA77),0)</f>
        <v>5730</v>
      </c>
      <c r="R80" s="329">
        <v>24</v>
      </c>
      <c r="S80" s="329">
        <v>144</v>
      </c>
      <c r="T80" s="329">
        <v>129</v>
      </c>
      <c r="U80" s="328"/>
      <c r="V80" s="328"/>
      <c r="W80" s="329">
        <v>0.85</v>
      </c>
      <c r="X80" s="329">
        <f>ROUND((F80*G80*H80*I80*J80*P80*Q80)*(1-W80),4)</f>
        <v>1.5599999999999999E-2</v>
      </c>
      <c r="Y80" s="329">
        <f>ROUND((((X80*R80*(365-T80-S80)*3600)/1000000)),4)</f>
        <v>0.124</v>
      </c>
      <c r="Z80" s="654">
        <f>X80</f>
        <v>1.5599999999999999E-2</v>
      </c>
      <c r="AA80" s="654">
        <f>Y80</f>
        <v>0.124</v>
      </c>
      <c r="AB80" s="419"/>
      <c r="AC80" s="652"/>
      <c r="AD80" s="652"/>
      <c r="AE80" s="650"/>
      <c r="AF80" s="87"/>
      <c r="AG80" s="87"/>
    </row>
    <row r="81" spans="1:33" ht="15.75" x14ac:dyDescent="0.25">
      <c r="A81" s="888" t="s">
        <v>119</v>
      </c>
      <c r="B81" s="889"/>
      <c r="C81" s="889"/>
      <c r="D81" s="889"/>
      <c r="E81" s="889"/>
      <c r="F81" s="889"/>
      <c r="G81" s="889"/>
      <c r="H81" s="889"/>
      <c r="I81" s="889"/>
      <c r="J81" s="889"/>
      <c r="K81" s="889"/>
      <c r="L81" s="889"/>
      <c r="M81" s="889"/>
      <c r="N81" s="889"/>
      <c r="O81" s="889"/>
      <c r="P81" s="889"/>
      <c r="Q81" s="889"/>
      <c r="R81" s="889"/>
      <c r="S81" s="889"/>
      <c r="T81" s="889"/>
      <c r="U81" s="889"/>
      <c r="V81" s="889"/>
      <c r="W81" s="889"/>
      <c r="X81" s="889"/>
      <c r="Y81" s="890"/>
      <c r="Z81" s="419"/>
      <c r="AA81" s="419"/>
      <c r="AB81" s="419"/>
      <c r="AC81" s="652"/>
      <c r="AD81" s="652"/>
      <c r="AE81" s="650"/>
      <c r="AF81" s="87"/>
      <c r="AG81" s="87"/>
    </row>
    <row r="82" spans="1:33" ht="24" x14ac:dyDescent="0.25">
      <c r="A82" s="891">
        <v>8026</v>
      </c>
      <c r="B82" s="346" t="s">
        <v>88</v>
      </c>
      <c r="C82" s="346" t="s">
        <v>18</v>
      </c>
      <c r="D82" s="329">
        <v>0.05</v>
      </c>
      <c r="E82" s="329">
        <v>0.03</v>
      </c>
      <c r="F82" s="347">
        <v>1.4</v>
      </c>
      <c r="G82" s="329">
        <v>1</v>
      </c>
      <c r="H82" s="329">
        <v>0.01</v>
      </c>
      <c r="I82" s="329" t="s">
        <v>55</v>
      </c>
      <c r="J82" s="329">
        <v>0.5</v>
      </c>
      <c r="K82" s="329">
        <v>1</v>
      </c>
      <c r="L82" s="329">
        <v>0.1</v>
      </c>
      <c r="M82" s="329">
        <v>0.5</v>
      </c>
      <c r="N82" s="329">
        <v>96</v>
      </c>
      <c r="O82" s="329">
        <f>AA82*1.6</f>
        <v>58992</v>
      </c>
      <c r="P82" s="329" t="s">
        <v>55</v>
      </c>
      <c r="Q82" s="329" t="s">
        <v>55</v>
      </c>
      <c r="R82" s="329" t="s">
        <v>55</v>
      </c>
      <c r="S82" s="329" t="s">
        <v>55</v>
      </c>
      <c r="T82" s="329" t="s">
        <v>55</v>
      </c>
      <c r="U82" s="894" t="s">
        <v>93</v>
      </c>
      <c r="V82" s="894">
        <v>2908</v>
      </c>
      <c r="W82" s="329">
        <v>0</v>
      </c>
      <c r="X82" s="329">
        <f>ROUND((D82*E82*F82*G82*H82*J82*K82*L82*N82*1000000*M82/3600)*(1-W82),4)</f>
        <v>1.4E-2</v>
      </c>
      <c r="Y82" s="329">
        <f>ROUND((D82*E82*F82*G82*H82*J82*K82*L82*M82*O82)*(1-W82),4)</f>
        <v>3.1E-2</v>
      </c>
      <c r="Z82" s="419"/>
      <c r="AA82" s="27">
        <v>36870</v>
      </c>
      <c r="AB82" s="419"/>
      <c r="AC82" s="652"/>
      <c r="AD82" s="652"/>
      <c r="AE82" s="650"/>
      <c r="AF82" s="87"/>
      <c r="AG82" s="87"/>
    </row>
    <row r="83" spans="1:33" ht="24" x14ac:dyDescent="0.25">
      <c r="A83" s="892"/>
      <c r="B83" s="346" t="s">
        <v>90</v>
      </c>
      <c r="C83" s="346" t="s">
        <v>18</v>
      </c>
      <c r="D83" s="329">
        <v>0.05</v>
      </c>
      <c r="E83" s="329">
        <v>0.03</v>
      </c>
      <c r="F83" s="347">
        <v>1.4</v>
      </c>
      <c r="G83" s="329">
        <v>1</v>
      </c>
      <c r="H83" s="329">
        <v>0.01</v>
      </c>
      <c r="I83" s="329" t="s">
        <v>55</v>
      </c>
      <c r="J83" s="329">
        <v>0.5</v>
      </c>
      <c r="K83" s="329" t="s">
        <v>55</v>
      </c>
      <c r="L83" s="329" t="s">
        <v>55</v>
      </c>
      <c r="M83" s="329">
        <v>0.5</v>
      </c>
      <c r="N83" s="329">
        <v>96</v>
      </c>
      <c r="O83" s="329">
        <f>AA82*1.6</f>
        <v>58992</v>
      </c>
      <c r="P83" s="329" t="s">
        <v>55</v>
      </c>
      <c r="Q83" s="329" t="s">
        <v>55</v>
      </c>
      <c r="R83" s="329" t="s">
        <v>55</v>
      </c>
      <c r="S83" s="329" t="s">
        <v>55</v>
      </c>
      <c r="T83" s="329" t="s">
        <v>55</v>
      </c>
      <c r="U83" s="895"/>
      <c r="V83" s="895"/>
      <c r="W83" s="329">
        <v>0.85</v>
      </c>
      <c r="X83" s="329">
        <f>ROUND((D83*E83*F83*G83*H83*J83*N83*1000000*M83/3600)*(1-W83),4)</f>
        <v>2.1000000000000001E-2</v>
      </c>
      <c r="Y83" s="329">
        <f>ROUND((D83*E83*F83*G83*H83*J83*M83*O83)*(1-W83),4)</f>
        <v>4.65E-2</v>
      </c>
      <c r="Z83" s="419"/>
      <c r="AA83" s="27" t="s">
        <v>91</v>
      </c>
      <c r="AB83" s="419"/>
      <c r="AC83" s="652"/>
      <c r="AD83" s="652"/>
      <c r="AE83" s="650"/>
      <c r="AF83" s="87"/>
      <c r="AG83" s="87"/>
    </row>
    <row r="84" spans="1:33" x14ac:dyDescent="0.25">
      <c r="A84" s="893"/>
      <c r="B84" s="346" t="s">
        <v>87</v>
      </c>
      <c r="C84" s="346" t="s">
        <v>18</v>
      </c>
      <c r="D84" s="329" t="s">
        <v>55</v>
      </c>
      <c r="E84" s="329" t="s">
        <v>55</v>
      </c>
      <c r="F84" s="347">
        <v>1.4</v>
      </c>
      <c r="G84" s="329">
        <v>1</v>
      </c>
      <c r="H84" s="329">
        <v>0.01</v>
      </c>
      <c r="I84" s="329">
        <v>1.3</v>
      </c>
      <c r="J84" s="329">
        <v>0.5</v>
      </c>
      <c r="K84" s="329" t="s">
        <v>55</v>
      </c>
      <c r="L84" s="329" t="s">
        <v>55</v>
      </c>
      <c r="M84" s="329" t="s">
        <v>55</v>
      </c>
      <c r="N84" s="329" t="s">
        <v>55</v>
      </c>
      <c r="O84" s="329" t="s">
        <v>55</v>
      </c>
      <c r="P84" s="329">
        <v>2E-3</v>
      </c>
      <c r="Q84" s="329">
        <f>ROUND((AA82/AA84),0)</f>
        <v>7374</v>
      </c>
      <c r="R84" s="329">
        <v>24</v>
      </c>
      <c r="S84" s="329">
        <v>75</v>
      </c>
      <c r="T84" s="329">
        <v>120</v>
      </c>
      <c r="U84" s="896"/>
      <c r="V84" s="896"/>
      <c r="W84" s="329">
        <v>0.85</v>
      </c>
      <c r="X84" s="329">
        <f>ROUND((F84*G84*H84*I84*J84*P84*Q84)*(1-W84),4)</f>
        <v>2.01E-2</v>
      </c>
      <c r="Y84" s="329">
        <f>ROUND((((X84*R84*(365-T84-S84)*3600)/1000000)),4)</f>
        <v>0.29520000000000002</v>
      </c>
      <c r="Z84" s="419"/>
      <c r="AA84" s="653">
        <v>5</v>
      </c>
      <c r="AB84" s="419"/>
      <c r="AC84" s="652"/>
      <c r="AD84" s="652"/>
      <c r="AE84" s="650"/>
      <c r="AF84" s="87"/>
      <c r="AG84" s="87"/>
    </row>
    <row r="85" spans="1:33" ht="39.75" customHeight="1" x14ac:dyDescent="0.25">
      <c r="A85" s="886" t="s">
        <v>557</v>
      </c>
      <c r="B85" s="887"/>
      <c r="C85" s="887"/>
      <c r="D85" s="887"/>
      <c r="E85" s="887"/>
      <c r="F85" s="887"/>
      <c r="G85" s="887"/>
      <c r="H85" s="887"/>
      <c r="I85" s="887"/>
      <c r="J85" s="887"/>
      <c r="K85" s="887"/>
      <c r="L85" s="887"/>
      <c r="M85" s="887"/>
      <c r="N85" s="887"/>
      <c r="O85" s="887"/>
      <c r="P85" s="887"/>
      <c r="Q85" s="887"/>
      <c r="R85" s="887"/>
      <c r="S85" s="887"/>
      <c r="T85" s="887"/>
      <c r="U85" s="348" t="s">
        <v>93</v>
      </c>
      <c r="V85" s="348">
        <v>2908</v>
      </c>
      <c r="W85" s="348"/>
      <c r="X85" s="348">
        <f>X82+X84+X83</f>
        <v>5.5099999999999996E-2</v>
      </c>
      <c r="Y85" s="348">
        <f>SUM(Y82:Y84)</f>
        <v>0.37270000000000003</v>
      </c>
      <c r="Z85" s="654">
        <f>X85</f>
        <v>5.5099999999999996E-2</v>
      </c>
      <c r="AA85" s="654">
        <f>Y85</f>
        <v>0.37270000000000003</v>
      </c>
      <c r="AB85" s="419"/>
      <c r="AC85" s="652"/>
      <c r="AD85" s="652"/>
      <c r="AE85" s="650"/>
      <c r="AF85" s="87"/>
      <c r="AG85" s="87"/>
    </row>
    <row r="86" spans="1:33" ht="15.75" x14ac:dyDescent="0.25">
      <c r="A86" s="888" t="s">
        <v>121</v>
      </c>
      <c r="B86" s="889"/>
      <c r="C86" s="889"/>
      <c r="D86" s="889"/>
      <c r="E86" s="889"/>
      <c r="F86" s="889"/>
      <c r="G86" s="889"/>
      <c r="H86" s="889"/>
      <c r="I86" s="889"/>
      <c r="J86" s="889"/>
      <c r="K86" s="889"/>
      <c r="L86" s="889"/>
      <c r="M86" s="889"/>
      <c r="N86" s="889"/>
      <c r="O86" s="889"/>
      <c r="P86" s="889"/>
      <c r="Q86" s="889"/>
      <c r="R86" s="889"/>
      <c r="S86" s="889"/>
      <c r="T86" s="889"/>
      <c r="U86" s="889"/>
      <c r="V86" s="889"/>
      <c r="W86" s="889"/>
      <c r="X86" s="889"/>
      <c r="Y86" s="890"/>
      <c r="Z86" s="419"/>
      <c r="AA86" s="419"/>
      <c r="AB86" s="419"/>
      <c r="AC86" s="27"/>
      <c r="AD86" s="419"/>
      <c r="AE86" s="87"/>
      <c r="AF86" s="87"/>
      <c r="AG86" s="87"/>
    </row>
    <row r="87" spans="1:33" ht="25.5" customHeight="1" x14ac:dyDescent="0.25">
      <c r="A87" s="532" t="s">
        <v>558</v>
      </c>
      <c r="B87" s="346" t="s">
        <v>87</v>
      </c>
      <c r="C87" s="346" t="s">
        <v>18</v>
      </c>
      <c r="D87" s="329" t="s">
        <v>55</v>
      </c>
      <c r="E87" s="329" t="s">
        <v>55</v>
      </c>
      <c r="F87" s="347">
        <v>1.4</v>
      </c>
      <c r="G87" s="329">
        <v>1</v>
      </c>
      <c r="H87" s="329">
        <v>0.01</v>
      </c>
      <c r="I87" s="329">
        <v>1.3</v>
      </c>
      <c r="J87" s="329">
        <v>0.5</v>
      </c>
      <c r="K87" s="329" t="s">
        <v>55</v>
      </c>
      <c r="L87" s="329" t="s">
        <v>55</v>
      </c>
      <c r="M87" s="329" t="s">
        <v>55</v>
      </c>
      <c r="N87" s="329" t="s">
        <v>55</v>
      </c>
      <c r="O87" s="329" t="s">
        <v>55</v>
      </c>
      <c r="P87" s="329">
        <v>2E-3</v>
      </c>
      <c r="Q87" s="329">
        <f>ROUND((AA82/AA84),0)</f>
        <v>7374</v>
      </c>
      <c r="R87" s="329">
        <v>24</v>
      </c>
      <c r="S87" s="329">
        <v>144</v>
      </c>
      <c r="T87" s="329">
        <v>129</v>
      </c>
      <c r="U87" s="328"/>
      <c r="V87" s="328"/>
      <c r="W87" s="329">
        <v>0.85</v>
      </c>
      <c r="X87" s="329">
        <f>ROUND((F87*G87*H87*I87*J87*P87*Q87)*(1-W87),4)</f>
        <v>2.01E-2</v>
      </c>
      <c r="Y87" s="329">
        <f>ROUND((((X87*R87*(365-T87-S87)*3600)/1000000)),4)</f>
        <v>0.1598</v>
      </c>
      <c r="Z87" s="654">
        <f>X87</f>
        <v>2.01E-2</v>
      </c>
      <c r="AA87" s="654">
        <f>Y87</f>
        <v>0.1598</v>
      </c>
      <c r="AB87" s="419"/>
      <c r="AC87" s="27"/>
      <c r="AD87" s="419"/>
      <c r="AE87" s="87"/>
      <c r="AF87" s="87"/>
      <c r="AG87" s="87"/>
    </row>
    <row r="88" spans="1:33" x14ac:dyDescent="0.25">
      <c r="A88" s="533" t="s">
        <v>92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88"/>
      <c r="O88" s="88"/>
      <c r="P88" s="88"/>
      <c r="Q88" s="88"/>
      <c r="R88" s="88"/>
      <c r="U88" s="88"/>
      <c r="V88" s="88"/>
      <c r="W88" s="88"/>
      <c r="X88" s="88"/>
      <c r="Y88" s="88"/>
      <c r="Z88" s="27"/>
    </row>
    <row r="89" spans="1:33" ht="20.25" customHeight="1" x14ac:dyDescent="0.25">
      <c r="A89" s="923" t="s">
        <v>554</v>
      </c>
      <c r="B89" s="923"/>
      <c r="C89" s="923"/>
      <c r="D89" s="923"/>
      <c r="E89" s="923"/>
      <c r="F89" s="923"/>
      <c r="G89" s="923"/>
      <c r="H89" s="923"/>
      <c r="I89" s="923"/>
      <c r="J89" s="923"/>
      <c r="K89" s="923"/>
      <c r="L89" s="923"/>
      <c r="M89" s="923"/>
      <c r="N89" s="923"/>
      <c r="O89" s="923"/>
      <c r="P89" s="923"/>
      <c r="Q89" s="923"/>
      <c r="R89" s="923"/>
      <c r="S89" s="923"/>
      <c r="T89" s="923"/>
      <c r="U89" s="923"/>
      <c r="V89" s="923"/>
      <c r="W89" s="923"/>
      <c r="X89" s="923"/>
      <c r="Y89" s="923"/>
      <c r="Z89" s="27"/>
    </row>
  </sheetData>
  <mergeCells count="78">
    <mergeCell ref="A33:Y33"/>
    <mergeCell ref="A35:U35"/>
    <mergeCell ref="A23:Y23"/>
    <mergeCell ref="A24:Y24"/>
    <mergeCell ref="A25:Y25"/>
    <mergeCell ref="A26:Y26"/>
    <mergeCell ref="A27:Y27"/>
    <mergeCell ref="A30:Y30"/>
    <mergeCell ref="A31:Y31"/>
    <mergeCell ref="A32:Y32"/>
    <mergeCell ref="A29:Y29"/>
    <mergeCell ref="A28:Y28"/>
    <mergeCell ref="A19:Y19"/>
    <mergeCell ref="A18:Y18"/>
    <mergeCell ref="A17:Y17"/>
    <mergeCell ref="A21:Y21"/>
    <mergeCell ref="A2:O2"/>
    <mergeCell ref="A3:Y3"/>
    <mergeCell ref="A14:O14"/>
    <mergeCell ref="A15:V15"/>
    <mergeCell ref="A16:V16"/>
    <mergeCell ref="A9:Y9"/>
    <mergeCell ref="A11:Y11"/>
    <mergeCell ref="A12:Y12"/>
    <mergeCell ref="A8:Y8"/>
    <mergeCell ref="A22:Y22"/>
    <mergeCell ref="B6:U6"/>
    <mergeCell ref="A1:V1"/>
    <mergeCell ref="A5:V5"/>
    <mergeCell ref="A89:Y89"/>
    <mergeCell ref="A49:A51"/>
    <mergeCell ref="A52:T52"/>
    <mergeCell ref="U49:U51"/>
    <mergeCell ref="V49:V51"/>
    <mergeCell ref="A74:Y74"/>
    <mergeCell ref="A75:A77"/>
    <mergeCell ref="A64:T64"/>
    <mergeCell ref="A65:Y65"/>
    <mergeCell ref="U75:U77"/>
    <mergeCell ref="V75:V77"/>
    <mergeCell ref="A20:Y20"/>
    <mergeCell ref="A78:T78"/>
    <mergeCell ref="A79:Y79"/>
    <mergeCell ref="A71:T71"/>
    <mergeCell ref="A72:Y72"/>
    <mergeCell ref="A53:Y53"/>
    <mergeCell ref="A60:Y60"/>
    <mergeCell ref="A61:A63"/>
    <mergeCell ref="U61:U63"/>
    <mergeCell ref="V61:V63"/>
    <mergeCell ref="A54:A56"/>
    <mergeCell ref="U54:U56"/>
    <mergeCell ref="V54:V56"/>
    <mergeCell ref="A57:T57"/>
    <mergeCell ref="A58:Y58"/>
    <mergeCell ref="A67:Y67"/>
    <mergeCell ref="A68:A70"/>
    <mergeCell ref="U68:U70"/>
    <mergeCell ref="V68:V70"/>
    <mergeCell ref="X38:Y38"/>
    <mergeCell ref="A48:Y48"/>
    <mergeCell ref="A38:A39"/>
    <mergeCell ref="B38:B39"/>
    <mergeCell ref="C38:C39"/>
    <mergeCell ref="U38:U39"/>
    <mergeCell ref="V38:V39"/>
    <mergeCell ref="A47:T47"/>
    <mergeCell ref="A43:A46"/>
    <mergeCell ref="U43:U46"/>
    <mergeCell ref="V43:V46"/>
    <mergeCell ref="A41:Y41"/>
    <mergeCell ref="A42:Y42"/>
    <mergeCell ref="A85:T85"/>
    <mergeCell ref="A86:Y86"/>
    <mergeCell ref="A81:Y81"/>
    <mergeCell ref="A82:A84"/>
    <mergeCell ref="U82:U84"/>
    <mergeCell ref="V82:V84"/>
  </mergeCells>
  <pageMargins left="0.31496062992125984" right="0.31496062992125984" top="0.74803149606299213" bottom="0.55118110236220474" header="0.31496062992125984" footer="0.31496062992125984"/>
  <pageSetup paperSize="9" firstPageNumber="172" orientation="landscape" useFirstPageNumber="1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164"/>
  <sheetViews>
    <sheetView view="pageBreakPreview" topLeftCell="A15" zoomScaleNormal="100" zoomScaleSheetLayoutView="100" workbookViewId="0">
      <selection activeCell="H162" sqref="H162"/>
    </sheetView>
  </sheetViews>
  <sheetFormatPr defaultRowHeight="15" x14ac:dyDescent="0.25"/>
  <cols>
    <col min="1" max="1" width="5.5703125" customWidth="1"/>
    <col min="2" max="2" width="14.140625" customWidth="1"/>
    <col min="3" max="3" width="11" customWidth="1"/>
    <col min="4" max="4" width="4.7109375" customWidth="1"/>
    <col min="5" max="5" width="4.28515625" customWidth="1"/>
    <col min="6" max="6" width="4" customWidth="1"/>
    <col min="7" max="7" width="3.85546875" customWidth="1"/>
    <col min="8" max="8" width="4.28515625" customWidth="1"/>
    <col min="9" max="9" width="4.140625" customWidth="1"/>
    <col min="10" max="10" width="3.7109375" customWidth="1"/>
    <col min="11" max="11" width="3.5703125" customWidth="1"/>
    <col min="12" max="12" width="3.7109375" customWidth="1"/>
    <col min="13" max="13" width="3.28515625" customWidth="1"/>
    <col min="14" max="14" width="5.42578125" customWidth="1"/>
    <col min="15" max="15" width="7" customWidth="1"/>
    <col min="16" max="17" width="5.140625" customWidth="1"/>
    <col min="18" max="18" width="4.5703125" customWidth="1"/>
    <col min="19" max="20" width="3.7109375" style="3" customWidth="1"/>
    <col min="21" max="21" width="11.5703125" customWidth="1"/>
    <col min="22" max="22" width="4.7109375" customWidth="1"/>
    <col min="23" max="23" width="5.140625" customWidth="1"/>
    <col min="24" max="24" width="6.85546875" customWidth="1"/>
    <col min="25" max="25" width="6.7109375" customWidth="1"/>
    <col min="28" max="28" width="9.140625" style="3"/>
  </cols>
  <sheetData>
    <row r="1" spans="1:28" ht="18.75" x14ac:dyDescent="0.3">
      <c r="A1" s="349" t="s">
        <v>310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1"/>
      <c r="R1" s="351"/>
      <c r="S1" s="351"/>
      <c r="T1" s="351"/>
      <c r="U1" s="351"/>
      <c r="V1" s="352"/>
      <c r="W1" s="351"/>
      <c r="X1" s="351"/>
      <c r="Y1" s="351"/>
    </row>
    <row r="2" spans="1:28" ht="25.5" customHeight="1" x14ac:dyDescent="0.25">
      <c r="A2" s="937" t="s">
        <v>36</v>
      </c>
      <c r="B2" s="939" t="s">
        <v>37</v>
      </c>
      <c r="C2" s="939" t="s">
        <v>2</v>
      </c>
      <c r="D2" s="536" t="s">
        <v>38</v>
      </c>
      <c r="E2" s="536" t="s">
        <v>39</v>
      </c>
      <c r="F2" s="537" t="s">
        <v>40</v>
      </c>
      <c r="G2" s="537" t="s">
        <v>41</v>
      </c>
      <c r="H2" s="536" t="s">
        <v>42</v>
      </c>
      <c r="I2" s="536" t="s">
        <v>43</v>
      </c>
      <c r="J2" s="536" t="s">
        <v>44</v>
      </c>
      <c r="K2" s="536" t="s">
        <v>76</v>
      </c>
      <c r="L2" s="536" t="s">
        <v>77</v>
      </c>
      <c r="M2" s="537" t="s">
        <v>45</v>
      </c>
      <c r="N2" s="537" t="s">
        <v>78</v>
      </c>
      <c r="O2" s="537" t="s">
        <v>556</v>
      </c>
      <c r="P2" s="537" t="s">
        <v>80</v>
      </c>
      <c r="Q2" s="536" t="s">
        <v>81</v>
      </c>
      <c r="R2" s="536" t="s">
        <v>82</v>
      </c>
      <c r="S2" s="536" t="s">
        <v>83</v>
      </c>
      <c r="T2" s="536" t="s">
        <v>84</v>
      </c>
      <c r="U2" s="937" t="s">
        <v>85</v>
      </c>
      <c r="V2" s="937" t="s">
        <v>49</v>
      </c>
      <c r="W2" s="534" t="s">
        <v>50</v>
      </c>
      <c r="X2" s="935" t="s">
        <v>51</v>
      </c>
      <c r="Y2" s="936"/>
    </row>
    <row r="3" spans="1:28" ht="16.5" customHeight="1" x14ac:dyDescent="0.25">
      <c r="A3" s="938"/>
      <c r="B3" s="939"/>
      <c r="C3" s="939"/>
      <c r="D3" s="539"/>
      <c r="E3" s="540"/>
      <c r="F3" s="541"/>
      <c r="G3" s="541"/>
      <c r="H3" s="540"/>
      <c r="I3" s="540"/>
      <c r="J3" s="540"/>
      <c r="K3" s="540"/>
      <c r="L3" s="540"/>
      <c r="M3" s="541"/>
      <c r="N3" s="541" t="s">
        <v>52</v>
      </c>
      <c r="O3" s="541" t="s">
        <v>53</v>
      </c>
      <c r="P3" s="541"/>
      <c r="Q3" s="540"/>
      <c r="R3" s="540" t="s">
        <v>86</v>
      </c>
      <c r="S3" s="540"/>
      <c r="T3" s="540"/>
      <c r="U3" s="938"/>
      <c r="V3" s="938"/>
      <c r="W3" s="540"/>
      <c r="X3" s="538" t="s">
        <v>54</v>
      </c>
      <c r="Y3" s="535" t="s">
        <v>53</v>
      </c>
    </row>
    <row r="4" spans="1:28" x14ac:dyDescent="0.25">
      <c r="A4" s="85">
        <v>1</v>
      </c>
      <c r="B4" s="353">
        <v>2</v>
      </c>
      <c r="C4" s="353">
        <v>3</v>
      </c>
      <c r="D4" s="85">
        <v>4</v>
      </c>
      <c r="E4" s="85">
        <v>5</v>
      </c>
      <c r="F4" s="354">
        <v>6</v>
      </c>
      <c r="G4" s="354">
        <v>7</v>
      </c>
      <c r="H4" s="85">
        <v>8</v>
      </c>
      <c r="I4" s="85">
        <v>9</v>
      </c>
      <c r="J4" s="85">
        <v>10</v>
      </c>
      <c r="K4" s="85">
        <v>11</v>
      </c>
      <c r="L4" s="85">
        <v>12</v>
      </c>
      <c r="M4" s="354">
        <v>13</v>
      </c>
      <c r="N4" s="354">
        <v>14</v>
      </c>
      <c r="O4" s="354">
        <v>15</v>
      </c>
      <c r="P4" s="354">
        <v>16</v>
      </c>
      <c r="Q4" s="85">
        <v>17</v>
      </c>
      <c r="R4" s="85">
        <v>18</v>
      </c>
      <c r="S4" s="85">
        <v>19</v>
      </c>
      <c r="T4" s="85">
        <v>20</v>
      </c>
      <c r="U4" s="85">
        <v>21</v>
      </c>
      <c r="V4" s="85">
        <v>22</v>
      </c>
      <c r="W4" s="85">
        <v>23</v>
      </c>
      <c r="X4" s="85">
        <v>24</v>
      </c>
      <c r="Y4" s="85">
        <v>25</v>
      </c>
    </row>
    <row r="5" spans="1:28" x14ac:dyDescent="0.25">
      <c r="A5" s="940" t="s">
        <v>546</v>
      </c>
      <c r="B5" s="941"/>
      <c r="C5" s="941"/>
      <c r="D5" s="941"/>
      <c r="E5" s="941"/>
      <c r="F5" s="941"/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  <c r="Y5" s="942"/>
    </row>
    <row r="6" spans="1:28" x14ac:dyDescent="0.25">
      <c r="A6" s="929" t="s">
        <v>16</v>
      </c>
      <c r="B6" s="930"/>
      <c r="C6" s="930"/>
      <c r="D6" s="930"/>
      <c r="E6" s="930"/>
      <c r="F6" s="930"/>
      <c r="G6" s="930"/>
      <c r="H6" s="930"/>
      <c r="I6" s="930"/>
      <c r="J6" s="930"/>
      <c r="K6" s="930"/>
      <c r="L6" s="930"/>
      <c r="M6" s="930"/>
      <c r="N6" s="930"/>
      <c r="O6" s="930"/>
      <c r="P6" s="930"/>
      <c r="Q6" s="930"/>
      <c r="R6" s="930"/>
      <c r="S6" s="930"/>
      <c r="T6" s="930"/>
      <c r="U6" s="930"/>
      <c r="V6" s="930"/>
      <c r="W6" s="930"/>
      <c r="X6" s="930"/>
      <c r="Y6" s="931"/>
    </row>
    <row r="7" spans="1:28" x14ac:dyDescent="0.25">
      <c r="A7" s="932" t="s">
        <v>547</v>
      </c>
      <c r="B7" s="933"/>
      <c r="C7" s="933"/>
      <c r="D7" s="933"/>
      <c r="E7" s="933"/>
      <c r="F7" s="933"/>
      <c r="G7" s="933"/>
      <c r="H7" s="933"/>
      <c r="I7" s="933"/>
      <c r="J7" s="933"/>
      <c r="K7" s="933"/>
      <c r="L7" s="933"/>
      <c r="M7" s="933"/>
      <c r="N7" s="933"/>
      <c r="O7" s="933"/>
      <c r="P7" s="933"/>
      <c r="Q7" s="933"/>
      <c r="R7" s="933"/>
      <c r="S7" s="933"/>
      <c r="T7" s="933"/>
      <c r="U7" s="933"/>
      <c r="V7" s="933"/>
      <c r="W7" s="933"/>
      <c r="X7" s="933"/>
      <c r="Y7" s="934"/>
    </row>
    <row r="8" spans="1:28" ht="24" x14ac:dyDescent="0.25">
      <c r="A8" s="894">
        <v>8027</v>
      </c>
      <c r="B8" s="346" t="s">
        <v>88</v>
      </c>
      <c r="C8" s="894" t="s">
        <v>279</v>
      </c>
      <c r="D8" s="329">
        <v>0.02</v>
      </c>
      <c r="E8" s="329">
        <v>0.01</v>
      </c>
      <c r="F8" s="347">
        <v>1.4</v>
      </c>
      <c r="G8" s="329">
        <v>1</v>
      </c>
      <c r="H8" s="329">
        <v>0.01</v>
      </c>
      <c r="I8" s="329" t="s">
        <v>55</v>
      </c>
      <c r="J8" s="329">
        <v>0.4</v>
      </c>
      <c r="K8" s="329">
        <v>1</v>
      </c>
      <c r="L8" s="329">
        <v>0.1</v>
      </c>
      <c r="M8" s="329">
        <v>0.5</v>
      </c>
      <c r="N8" s="329">
        <v>420</v>
      </c>
      <c r="O8" s="329">
        <v>44381</v>
      </c>
      <c r="P8" s="329" t="s">
        <v>55</v>
      </c>
      <c r="Q8" s="329" t="s">
        <v>55</v>
      </c>
      <c r="R8" s="329" t="s">
        <v>55</v>
      </c>
      <c r="S8" s="329" t="s">
        <v>55</v>
      </c>
      <c r="T8" s="329" t="s">
        <v>55</v>
      </c>
      <c r="U8" s="894" t="s">
        <v>93</v>
      </c>
      <c r="V8" s="894">
        <v>2908</v>
      </c>
      <c r="W8" s="329">
        <v>0</v>
      </c>
      <c r="X8" s="329">
        <f>ROUND((D8*E8*F8*G8*H8*J8*K8*L8*N8*1000000*M8/3600)*(1-W8),4)</f>
        <v>6.4999999999999997E-3</v>
      </c>
      <c r="Y8" s="329">
        <f>ROUND((D8*E8*F8*G8*H8*J8*K8*L8*M8*O8)*(1-W8),4)</f>
        <v>2.5000000000000001E-3</v>
      </c>
    </row>
    <row r="9" spans="1:28" ht="36" x14ac:dyDescent="0.25">
      <c r="A9" s="895"/>
      <c r="B9" s="346" t="s">
        <v>552</v>
      </c>
      <c r="C9" s="927"/>
      <c r="D9" s="329">
        <v>0.02</v>
      </c>
      <c r="E9" s="329">
        <v>0.01</v>
      </c>
      <c r="F9" s="347">
        <v>1.4</v>
      </c>
      <c r="G9" s="329">
        <v>1</v>
      </c>
      <c r="H9" s="329">
        <v>0.01</v>
      </c>
      <c r="I9" s="329" t="s">
        <v>55</v>
      </c>
      <c r="J9" s="329">
        <v>0.4</v>
      </c>
      <c r="K9" s="329" t="s">
        <v>55</v>
      </c>
      <c r="L9" s="329" t="s">
        <v>55</v>
      </c>
      <c r="M9" s="329">
        <v>0.5</v>
      </c>
      <c r="N9" s="329">
        <v>420</v>
      </c>
      <c r="O9" s="329">
        <v>44381</v>
      </c>
      <c r="P9" s="329" t="s">
        <v>55</v>
      </c>
      <c r="Q9" s="329" t="s">
        <v>55</v>
      </c>
      <c r="R9" s="329" t="s">
        <v>55</v>
      </c>
      <c r="S9" s="329" t="s">
        <v>55</v>
      </c>
      <c r="T9" s="329" t="s">
        <v>55</v>
      </c>
      <c r="U9" s="895"/>
      <c r="V9" s="895"/>
      <c r="W9" s="329">
        <v>0.85</v>
      </c>
      <c r="X9" s="329">
        <f>ROUND((D9*E9*F9*G9*H9*J9*N9*1000000*M9/3600)*(1-W9),4)</f>
        <v>9.7999999999999997E-3</v>
      </c>
      <c r="Y9" s="329">
        <f>ROUND((D9*E9*F9*G9*H9*J9*M9*O9)*(1-W9),4)</f>
        <v>3.7000000000000002E-3</v>
      </c>
      <c r="Z9" s="9" t="s">
        <v>561</v>
      </c>
      <c r="AA9" s="9"/>
      <c r="AB9" s="358"/>
    </row>
    <row r="10" spans="1:28" x14ac:dyDescent="0.25">
      <c r="A10" s="895"/>
      <c r="B10" s="346" t="s">
        <v>87</v>
      </c>
      <c r="C10" s="927"/>
      <c r="D10" s="329" t="s">
        <v>55</v>
      </c>
      <c r="E10" s="329" t="s">
        <v>55</v>
      </c>
      <c r="F10" s="347">
        <v>1.4</v>
      </c>
      <c r="G10" s="329">
        <v>1</v>
      </c>
      <c r="H10" s="329">
        <v>0.01</v>
      </c>
      <c r="I10" s="329">
        <v>1.3</v>
      </c>
      <c r="J10" s="329">
        <v>0.4</v>
      </c>
      <c r="K10" s="329" t="s">
        <v>55</v>
      </c>
      <c r="L10" s="329" t="s">
        <v>55</v>
      </c>
      <c r="M10" s="329" t="s">
        <v>55</v>
      </c>
      <c r="N10" s="329" t="s">
        <v>55</v>
      </c>
      <c r="O10" s="329" t="s">
        <v>55</v>
      </c>
      <c r="P10" s="329">
        <v>2E-3</v>
      </c>
      <c r="Q10" s="329">
        <v>5000</v>
      </c>
      <c r="R10" s="329">
        <v>24</v>
      </c>
      <c r="S10" s="329">
        <v>0</v>
      </c>
      <c r="T10" s="329">
        <v>25</v>
      </c>
      <c r="U10" s="895"/>
      <c r="V10" s="895"/>
      <c r="W10" s="329">
        <v>0.85</v>
      </c>
      <c r="X10" s="329">
        <f>ROUND((F10*G10*H10*I10*J10*P10*Q10)*(1-W10),4)</f>
        <v>1.09E-2</v>
      </c>
      <c r="Y10" s="329">
        <f>ROUND((((X10*R10*(110-T10-S10)*3600)/1000000)),4)</f>
        <v>0.08</v>
      </c>
      <c r="Z10" t="s">
        <v>549</v>
      </c>
    </row>
    <row r="11" spans="1:28" ht="24" x14ac:dyDescent="0.25">
      <c r="A11" s="863"/>
      <c r="B11" s="346" t="s">
        <v>551</v>
      </c>
      <c r="C11" s="863"/>
      <c r="D11" s="329">
        <v>0.02</v>
      </c>
      <c r="E11" s="329">
        <v>0.01</v>
      </c>
      <c r="F11" s="347">
        <v>1.4</v>
      </c>
      <c r="G11" s="329">
        <v>1</v>
      </c>
      <c r="H11" s="329">
        <v>0.01</v>
      </c>
      <c r="I11" s="329" t="s">
        <v>55</v>
      </c>
      <c r="J11" s="329">
        <v>0.4</v>
      </c>
      <c r="K11" s="329" t="s">
        <v>55</v>
      </c>
      <c r="L11" s="329" t="s">
        <v>55</v>
      </c>
      <c r="M11" s="329">
        <v>0.5</v>
      </c>
      <c r="N11" s="329">
        <v>420</v>
      </c>
      <c r="O11" s="329">
        <v>44381</v>
      </c>
      <c r="P11" s="329" t="s">
        <v>55</v>
      </c>
      <c r="Q11" s="329" t="s">
        <v>55</v>
      </c>
      <c r="R11" s="329" t="s">
        <v>55</v>
      </c>
      <c r="S11" s="329" t="s">
        <v>55</v>
      </c>
      <c r="T11" s="329" t="s">
        <v>55</v>
      </c>
      <c r="U11" s="928"/>
      <c r="V11" s="928"/>
      <c r="W11" s="329">
        <v>0</v>
      </c>
      <c r="X11" s="329">
        <f>ROUND((D11*E11*F11*G11*H11*J11*N11*1000000*M11/3600)*(1-W11),4)</f>
        <v>6.5299999999999997E-2</v>
      </c>
      <c r="Y11" s="329">
        <f>ROUND((D11*E11*F11*G11*H11*J11*M11*O11)*(1-W11),4)</f>
        <v>2.4899999999999999E-2</v>
      </c>
    </row>
    <row r="12" spans="1:28" ht="44.25" customHeight="1" x14ac:dyDescent="0.25">
      <c r="A12" s="886" t="s">
        <v>548</v>
      </c>
      <c r="B12" s="887"/>
      <c r="C12" s="887"/>
      <c r="D12" s="887"/>
      <c r="E12" s="887"/>
      <c r="F12" s="887"/>
      <c r="G12" s="887"/>
      <c r="H12" s="887"/>
      <c r="I12" s="887"/>
      <c r="J12" s="887"/>
      <c r="K12" s="887"/>
      <c r="L12" s="887"/>
      <c r="M12" s="887"/>
      <c r="N12" s="887"/>
      <c r="O12" s="887"/>
      <c r="P12" s="887"/>
      <c r="Q12" s="887"/>
      <c r="R12" s="887"/>
      <c r="S12" s="887"/>
      <c r="T12" s="887"/>
      <c r="U12" s="348" t="s">
        <v>93</v>
      </c>
      <c r="V12" s="348">
        <v>2908</v>
      </c>
      <c r="W12" s="348"/>
      <c r="X12" s="348">
        <f>X8+X9+X10+X11</f>
        <v>9.2499999999999999E-2</v>
      </c>
      <c r="Y12" s="348">
        <f>SUM(Y8:Y11)</f>
        <v>0.1111</v>
      </c>
      <c r="Z12" s="357"/>
      <c r="AA12" s="357"/>
    </row>
    <row r="13" spans="1:28" x14ac:dyDescent="0.25">
      <c r="A13" s="932" t="s">
        <v>685</v>
      </c>
      <c r="B13" s="933"/>
      <c r="C13" s="933"/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4"/>
    </row>
    <row r="14" spans="1:28" ht="24" x14ac:dyDescent="0.25">
      <c r="A14" s="894">
        <v>8028</v>
      </c>
      <c r="B14" s="346" t="s">
        <v>88</v>
      </c>
      <c r="C14" s="894" t="s">
        <v>280</v>
      </c>
      <c r="D14" s="329">
        <v>0.05</v>
      </c>
      <c r="E14" s="329">
        <v>0.02</v>
      </c>
      <c r="F14" s="347">
        <v>1.4</v>
      </c>
      <c r="G14" s="329">
        <v>1</v>
      </c>
      <c r="H14" s="329">
        <v>0.01</v>
      </c>
      <c r="I14" s="329" t="s">
        <v>55</v>
      </c>
      <c r="J14" s="329">
        <v>0.5</v>
      </c>
      <c r="K14" s="329">
        <v>1</v>
      </c>
      <c r="L14" s="329">
        <v>0.1</v>
      </c>
      <c r="M14" s="329">
        <v>0.5</v>
      </c>
      <c r="N14" s="329">
        <v>1890</v>
      </c>
      <c r="O14" s="329">
        <v>511388</v>
      </c>
      <c r="P14" s="329" t="s">
        <v>55</v>
      </c>
      <c r="Q14" s="329" t="s">
        <v>55</v>
      </c>
      <c r="R14" s="329" t="s">
        <v>55</v>
      </c>
      <c r="S14" s="329" t="s">
        <v>55</v>
      </c>
      <c r="T14" s="329" t="s">
        <v>55</v>
      </c>
      <c r="U14" s="894" t="s">
        <v>93</v>
      </c>
      <c r="V14" s="894">
        <v>2908</v>
      </c>
      <c r="W14" s="329">
        <v>0</v>
      </c>
      <c r="X14" s="329">
        <f>ROUND((D14*E14*F14*G14*H14*J14*K14*L14*N14*1000000*M14/3600)*(1-W14),4)</f>
        <v>0.18379999999999999</v>
      </c>
      <c r="Y14" s="329">
        <f>ROUND((D14*E14*F14*G14*H14*J14*K14*L14*M14*O14)*(1-W14),4)</f>
        <v>0.17899999999999999</v>
      </c>
      <c r="Z14" s="9" t="s">
        <v>62</v>
      </c>
      <c r="AA14" s="9"/>
      <c r="AB14" s="358"/>
    </row>
    <row r="15" spans="1:28" ht="36" x14ac:dyDescent="0.25">
      <c r="A15" s="895"/>
      <c r="B15" s="346" t="s">
        <v>552</v>
      </c>
      <c r="C15" s="927"/>
      <c r="D15" s="329">
        <v>0.05</v>
      </c>
      <c r="E15" s="329">
        <v>0.02</v>
      </c>
      <c r="F15" s="347">
        <v>1.4</v>
      </c>
      <c r="G15" s="329">
        <v>1</v>
      </c>
      <c r="H15" s="329">
        <v>0.01</v>
      </c>
      <c r="I15" s="329" t="s">
        <v>55</v>
      </c>
      <c r="J15" s="329">
        <v>0.5</v>
      </c>
      <c r="K15" s="329" t="s">
        <v>55</v>
      </c>
      <c r="L15" s="329" t="s">
        <v>55</v>
      </c>
      <c r="M15" s="329">
        <v>0.5</v>
      </c>
      <c r="N15" s="329">
        <v>1890</v>
      </c>
      <c r="O15" s="329">
        <v>511388</v>
      </c>
      <c r="P15" s="329" t="s">
        <v>55</v>
      </c>
      <c r="Q15" s="329" t="s">
        <v>55</v>
      </c>
      <c r="R15" s="329" t="s">
        <v>55</v>
      </c>
      <c r="S15" s="329" t="s">
        <v>55</v>
      </c>
      <c r="T15" s="329" t="s">
        <v>55</v>
      </c>
      <c r="U15" s="895"/>
      <c r="V15" s="895"/>
      <c r="W15" s="329">
        <v>0.85</v>
      </c>
      <c r="X15" s="329">
        <f>ROUND((D15*E15*F15*G15*H15*J15*N15*1000000*M15/3600)*(1-W15),4)</f>
        <v>0.27560000000000001</v>
      </c>
      <c r="Y15" s="329">
        <f>ROUND((D15*E15*F15*G15*H15*J15*M15*O15)*(1-W15),4)</f>
        <v>0.26850000000000002</v>
      </c>
      <c r="Z15" t="s">
        <v>549</v>
      </c>
    </row>
    <row r="16" spans="1:28" x14ac:dyDescent="0.25">
      <c r="A16" s="895"/>
      <c r="B16" s="346" t="s">
        <v>87</v>
      </c>
      <c r="C16" s="927"/>
      <c r="D16" s="329" t="s">
        <v>55</v>
      </c>
      <c r="E16" s="329" t="s">
        <v>55</v>
      </c>
      <c r="F16" s="347">
        <v>1.4</v>
      </c>
      <c r="G16" s="329">
        <v>1</v>
      </c>
      <c r="H16" s="329">
        <v>0.01</v>
      </c>
      <c r="I16" s="329">
        <v>1.3</v>
      </c>
      <c r="J16" s="329">
        <v>0.5</v>
      </c>
      <c r="K16" s="329" t="s">
        <v>55</v>
      </c>
      <c r="L16" s="329" t="s">
        <v>55</v>
      </c>
      <c r="M16" s="329" t="s">
        <v>55</v>
      </c>
      <c r="N16" s="329" t="s">
        <v>55</v>
      </c>
      <c r="O16" s="329" t="s">
        <v>55</v>
      </c>
      <c r="P16" s="329">
        <v>4.0000000000000001E-3</v>
      </c>
      <c r="Q16" s="329">
        <v>5000</v>
      </c>
      <c r="R16" s="329">
        <v>24</v>
      </c>
      <c r="S16" s="329">
        <v>0</v>
      </c>
      <c r="T16" s="329">
        <v>20</v>
      </c>
      <c r="U16" s="895"/>
      <c r="V16" s="895"/>
      <c r="W16" s="329">
        <v>0.85</v>
      </c>
      <c r="X16" s="329">
        <f>ROUND((F16*G16*H16*I16*J16*P16*Q16)*(1-W16),4)</f>
        <v>2.7300000000000001E-2</v>
      </c>
      <c r="Y16" s="329">
        <f>ROUND((((X16*R16*(93-T16-S16)*3600)/1000000)),4)</f>
        <v>0.17219999999999999</v>
      </c>
    </row>
    <row r="17" spans="1:30" ht="21" customHeight="1" x14ac:dyDescent="0.25">
      <c r="A17" s="863"/>
      <c r="B17" s="346" t="s">
        <v>295</v>
      </c>
      <c r="C17" s="863"/>
      <c r="D17" s="329">
        <v>0.05</v>
      </c>
      <c r="E17" s="329">
        <v>0.02</v>
      </c>
      <c r="F17" s="347">
        <v>1.4</v>
      </c>
      <c r="G17" s="329">
        <v>1</v>
      </c>
      <c r="H17" s="329">
        <v>0.01</v>
      </c>
      <c r="I17" s="329" t="s">
        <v>55</v>
      </c>
      <c r="J17" s="329">
        <v>0.5</v>
      </c>
      <c r="K17" s="329" t="s">
        <v>55</v>
      </c>
      <c r="L17" s="329" t="s">
        <v>55</v>
      </c>
      <c r="M17" s="329">
        <v>0.5</v>
      </c>
      <c r="N17" s="329">
        <v>1890</v>
      </c>
      <c r="O17" s="329">
        <v>511388</v>
      </c>
      <c r="P17" s="329" t="s">
        <v>55</v>
      </c>
      <c r="Q17" s="329" t="s">
        <v>55</v>
      </c>
      <c r="R17" s="329" t="s">
        <v>55</v>
      </c>
      <c r="S17" s="329" t="s">
        <v>55</v>
      </c>
      <c r="T17" s="329" t="s">
        <v>55</v>
      </c>
      <c r="U17" s="928"/>
      <c r="V17" s="928"/>
      <c r="W17" s="329">
        <v>0</v>
      </c>
      <c r="X17" s="329">
        <f>ROUND((D17*E17*F17*G17*H17*J17*N17*1000000*M17/3600)*(1-W17),4)</f>
        <v>1.8374999999999999</v>
      </c>
      <c r="Y17" s="329">
        <f>ROUND((D17*E17*F17*G17*H17*J17*M17*O17)*(1-W17),4)</f>
        <v>1.7899</v>
      </c>
    </row>
    <row r="18" spans="1:30" ht="48" customHeight="1" x14ac:dyDescent="0.25">
      <c r="A18" s="886" t="s">
        <v>550</v>
      </c>
      <c r="B18" s="887"/>
      <c r="C18" s="887"/>
      <c r="D18" s="887"/>
      <c r="E18" s="887"/>
      <c r="F18" s="887"/>
      <c r="G18" s="887"/>
      <c r="H18" s="887"/>
      <c r="I18" s="887"/>
      <c r="J18" s="887"/>
      <c r="K18" s="887"/>
      <c r="L18" s="887"/>
      <c r="M18" s="887"/>
      <c r="N18" s="887"/>
      <c r="O18" s="887"/>
      <c r="P18" s="887"/>
      <c r="Q18" s="887"/>
      <c r="R18" s="887"/>
      <c r="S18" s="887"/>
      <c r="T18" s="887"/>
      <c r="U18" s="348" t="s">
        <v>93</v>
      </c>
      <c r="V18" s="348">
        <v>2908</v>
      </c>
      <c r="W18" s="348"/>
      <c r="X18" s="348">
        <f>X14+X15+X16+X17</f>
        <v>2.3241999999999998</v>
      </c>
      <c r="Y18" s="348">
        <f>SUM(Y14:Y17)</f>
        <v>2.4096000000000002</v>
      </c>
      <c r="Z18" s="234"/>
      <c r="AA18" s="234"/>
    </row>
    <row r="19" spans="1:30" ht="14.25" customHeight="1" x14ac:dyDescent="0.25">
      <c r="A19" s="932" t="s">
        <v>686</v>
      </c>
      <c r="B19" s="933"/>
      <c r="C19" s="933"/>
      <c r="D19" s="933"/>
      <c r="E19" s="933"/>
      <c r="F19" s="933"/>
      <c r="G19" s="933"/>
      <c r="H19" s="933"/>
      <c r="I19" s="933"/>
      <c r="J19" s="933"/>
      <c r="K19" s="933"/>
      <c r="L19" s="933"/>
      <c r="M19" s="933"/>
      <c r="N19" s="933"/>
      <c r="O19" s="933"/>
      <c r="P19" s="933"/>
      <c r="Q19" s="933"/>
      <c r="R19" s="933"/>
      <c r="S19" s="933"/>
      <c r="T19" s="933"/>
      <c r="U19" s="933"/>
      <c r="V19" s="933"/>
      <c r="W19" s="933"/>
      <c r="X19" s="933"/>
      <c r="Y19" s="934"/>
      <c r="Z19" s="3"/>
      <c r="AA19" s="3"/>
    </row>
    <row r="20" spans="1:30" ht="27" customHeight="1" x14ac:dyDescent="0.25">
      <c r="A20" s="894">
        <v>8031</v>
      </c>
      <c r="B20" s="346" t="s">
        <v>88</v>
      </c>
      <c r="C20" s="894" t="s">
        <v>682</v>
      </c>
      <c r="D20" s="329">
        <v>0.02</v>
      </c>
      <c r="E20" s="329">
        <v>0.01</v>
      </c>
      <c r="F20" s="347">
        <v>1.4</v>
      </c>
      <c r="G20" s="329">
        <v>1</v>
      </c>
      <c r="H20" s="329">
        <v>0.01</v>
      </c>
      <c r="I20" s="329" t="s">
        <v>55</v>
      </c>
      <c r="J20" s="329">
        <v>0.2</v>
      </c>
      <c r="K20" s="329">
        <v>1</v>
      </c>
      <c r="L20" s="329">
        <v>0.1</v>
      </c>
      <c r="M20" s="329">
        <v>0.5</v>
      </c>
      <c r="N20" s="329">
        <v>1003</v>
      </c>
      <c r="O20" s="329">
        <v>372381</v>
      </c>
      <c r="P20" s="329" t="s">
        <v>55</v>
      </c>
      <c r="Q20" s="329" t="s">
        <v>55</v>
      </c>
      <c r="R20" s="329" t="s">
        <v>55</v>
      </c>
      <c r="S20" s="329" t="s">
        <v>55</v>
      </c>
      <c r="T20" s="329" t="s">
        <v>55</v>
      </c>
      <c r="U20" s="894" t="s">
        <v>93</v>
      </c>
      <c r="V20" s="894">
        <v>2908</v>
      </c>
      <c r="W20" s="329">
        <v>0</v>
      </c>
      <c r="X20" s="329">
        <f>ROUND((D20*E20*F20*G20*H20*J20*K20*L20*N20*1000000*M20/3600)*(1-W20),4)</f>
        <v>7.7999999999999996E-3</v>
      </c>
      <c r="Y20" s="329">
        <f>ROUND((D20*E20*F20*G20*H20*J20*K20*L20*M20*O20)*(1-W20),4)</f>
        <v>1.04E-2</v>
      </c>
      <c r="Z20" s="3"/>
      <c r="AA20" s="3"/>
    </row>
    <row r="21" spans="1:30" ht="39" customHeight="1" x14ac:dyDescent="0.25">
      <c r="A21" s="895"/>
      <c r="B21" s="346" t="s">
        <v>552</v>
      </c>
      <c r="C21" s="927"/>
      <c r="D21" s="329">
        <v>0.02</v>
      </c>
      <c r="E21" s="329">
        <v>0.01</v>
      </c>
      <c r="F21" s="347">
        <v>1.4</v>
      </c>
      <c r="G21" s="329">
        <v>1</v>
      </c>
      <c r="H21" s="329">
        <v>0.01</v>
      </c>
      <c r="I21" s="329" t="s">
        <v>55</v>
      </c>
      <c r="J21" s="329">
        <v>0.2</v>
      </c>
      <c r="K21" s="329" t="s">
        <v>55</v>
      </c>
      <c r="L21" s="329" t="s">
        <v>55</v>
      </c>
      <c r="M21" s="329">
        <v>0.5</v>
      </c>
      <c r="N21" s="329">
        <v>1003</v>
      </c>
      <c r="O21" s="329">
        <v>372381</v>
      </c>
      <c r="P21" s="329" t="s">
        <v>55</v>
      </c>
      <c r="Q21" s="329" t="s">
        <v>55</v>
      </c>
      <c r="R21" s="329" t="s">
        <v>55</v>
      </c>
      <c r="S21" s="329" t="s">
        <v>55</v>
      </c>
      <c r="T21" s="329" t="s">
        <v>55</v>
      </c>
      <c r="U21" s="895"/>
      <c r="V21" s="895"/>
      <c r="W21" s="329">
        <v>0.85</v>
      </c>
      <c r="X21" s="329">
        <f>ROUND((D21*E21*F21*G21*H21*J21*N21*1000000*M21/3600)*(1-W21),4)</f>
        <v>1.17E-2</v>
      </c>
      <c r="Y21" s="329">
        <f>ROUND((D21*E21*F21*G21*H21*J21*M21*O21)*(1-W21),4)</f>
        <v>1.5599999999999999E-2</v>
      </c>
      <c r="Z21" s="9" t="s">
        <v>688</v>
      </c>
      <c r="AA21" s="9"/>
      <c r="AB21" s="9"/>
    </row>
    <row r="22" spans="1:30" ht="15" customHeight="1" x14ac:dyDescent="0.25">
      <c r="A22" s="895"/>
      <c r="B22" s="346" t="s">
        <v>87</v>
      </c>
      <c r="C22" s="927"/>
      <c r="D22" s="329" t="s">
        <v>55</v>
      </c>
      <c r="E22" s="329" t="s">
        <v>55</v>
      </c>
      <c r="F22" s="347">
        <v>1.4</v>
      </c>
      <c r="G22" s="329">
        <v>1</v>
      </c>
      <c r="H22" s="329">
        <v>0.01</v>
      </c>
      <c r="I22" s="329">
        <v>1.3</v>
      </c>
      <c r="J22" s="329">
        <v>0.2</v>
      </c>
      <c r="K22" s="329" t="s">
        <v>55</v>
      </c>
      <c r="L22" s="329" t="s">
        <v>55</v>
      </c>
      <c r="M22" s="329" t="s">
        <v>55</v>
      </c>
      <c r="N22" s="329" t="s">
        <v>55</v>
      </c>
      <c r="O22" s="329" t="s">
        <v>55</v>
      </c>
      <c r="P22" s="329">
        <v>2E-3</v>
      </c>
      <c r="Q22" s="329">
        <v>10000</v>
      </c>
      <c r="R22" s="329">
        <v>24</v>
      </c>
      <c r="S22" s="329">
        <v>0</v>
      </c>
      <c r="T22" s="329">
        <v>20</v>
      </c>
      <c r="U22" s="895"/>
      <c r="V22" s="895"/>
      <c r="W22" s="329">
        <v>0.85</v>
      </c>
      <c r="X22" s="329">
        <f>ROUND((F22*G22*H22*I22*J22*P22*Q22)*(1-W22),4)</f>
        <v>1.09E-2</v>
      </c>
      <c r="Y22" s="329">
        <f>ROUND((((X22*R22*(110-T22-S22)*3600)/1000000)),4)</f>
        <v>8.48E-2</v>
      </c>
      <c r="Z22" t="s">
        <v>549</v>
      </c>
      <c r="AB22"/>
    </row>
    <row r="23" spans="1:30" ht="26.25" customHeight="1" x14ac:dyDescent="0.25">
      <c r="A23" s="863"/>
      <c r="B23" s="346" t="s">
        <v>551</v>
      </c>
      <c r="C23" s="863"/>
      <c r="D23" s="329">
        <v>0.02</v>
      </c>
      <c r="E23" s="329">
        <v>0.01</v>
      </c>
      <c r="F23" s="347">
        <v>1.4</v>
      </c>
      <c r="G23" s="329">
        <v>1</v>
      </c>
      <c r="H23" s="329">
        <v>0.01</v>
      </c>
      <c r="I23" s="329" t="s">
        <v>55</v>
      </c>
      <c r="J23" s="329">
        <v>0.2</v>
      </c>
      <c r="K23" s="329" t="s">
        <v>55</v>
      </c>
      <c r="L23" s="329" t="s">
        <v>55</v>
      </c>
      <c r="M23" s="329">
        <v>0.5</v>
      </c>
      <c r="N23" s="329">
        <v>1003</v>
      </c>
      <c r="O23" s="329">
        <v>372381</v>
      </c>
      <c r="P23" s="329" t="s">
        <v>55</v>
      </c>
      <c r="Q23" s="329" t="s">
        <v>55</v>
      </c>
      <c r="R23" s="329" t="s">
        <v>55</v>
      </c>
      <c r="S23" s="329" t="s">
        <v>55</v>
      </c>
      <c r="T23" s="329" t="s">
        <v>55</v>
      </c>
      <c r="U23" s="928"/>
      <c r="V23" s="928"/>
      <c r="W23" s="329">
        <v>0</v>
      </c>
      <c r="X23" s="329">
        <f>ROUND((D23*E23*F23*G23*H23*J23*N23*1000000*M23/3600)*(1-W23),4)</f>
        <v>7.8E-2</v>
      </c>
      <c r="Y23" s="329">
        <f>ROUND((D23*E23*F23*G23*H23*J23*M23*O23)*(1-W23),4)</f>
        <v>0.1043</v>
      </c>
      <c r="Z23" s="3"/>
      <c r="AA23" s="3"/>
    </row>
    <row r="24" spans="1:30" ht="48" customHeight="1" x14ac:dyDescent="0.25">
      <c r="A24" s="886" t="s">
        <v>687</v>
      </c>
      <c r="B24" s="887"/>
      <c r="C24" s="887"/>
      <c r="D24" s="887"/>
      <c r="E24" s="887"/>
      <c r="F24" s="887"/>
      <c r="G24" s="887"/>
      <c r="H24" s="887"/>
      <c r="I24" s="887"/>
      <c r="J24" s="887"/>
      <c r="K24" s="887"/>
      <c r="L24" s="887"/>
      <c r="M24" s="887"/>
      <c r="N24" s="887"/>
      <c r="O24" s="887"/>
      <c r="P24" s="887"/>
      <c r="Q24" s="887"/>
      <c r="R24" s="887"/>
      <c r="S24" s="887"/>
      <c r="T24" s="887"/>
      <c r="U24" s="348" t="s">
        <v>93</v>
      </c>
      <c r="V24" s="348">
        <v>2908</v>
      </c>
      <c r="W24" s="348"/>
      <c r="X24" s="348">
        <f>X20+X21+X22+X23</f>
        <v>0.1084</v>
      </c>
      <c r="Y24" s="348">
        <f>SUM(Y20:Y23)</f>
        <v>0.21510000000000001</v>
      </c>
      <c r="Z24" s="709">
        <f>X12+X18+X24</f>
        <v>2.5250999999999997</v>
      </c>
      <c r="AA24" s="710">
        <f>Y12+Y18+Y24</f>
        <v>2.7358000000000002</v>
      </c>
      <c r="AB24" s="711">
        <v>2026</v>
      </c>
      <c r="AD24">
        <f>X12+X18+X24</f>
        <v>2.5250999999999997</v>
      </c>
    </row>
    <row r="25" spans="1:30" x14ac:dyDescent="0.25">
      <c r="A25" s="929" t="s">
        <v>97</v>
      </c>
      <c r="B25" s="930"/>
      <c r="C25" s="930"/>
      <c r="D25" s="930"/>
      <c r="E25" s="930"/>
      <c r="F25" s="930"/>
      <c r="G25" s="930"/>
      <c r="H25" s="930"/>
      <c r="I25" s="930"/>
      <c r="J25" s="930"/>
      <c r="K25" s="930"/>
      <c r="L25" s="930"/>
      <c r="M25" s="930"/>
      <c r="N25" s="930"/>
      <c r="O25" s="930"/>
      <c r="P25" s="930"/>
      <c r="Q25" s="930"/>
      <c r="R25" s="930"/>
      <c r="S25" s="930"/>
      <c r="T25" s="930"/>
      <c r="U25" s="930"/>
      <c r="V25" s="930"/>
      <c r="W25" s="930"/>
      <c r="X25" s="930"/>
      <c r="Y25" s="931"/>
    </row>
    <row r="26" spans="1:30" x14ac:dyDescent="0.25">
      <c r="A26" s="932" t="s">
        <v>547</v>
      </c>
      <c r="B26" s="933"/>
      <c r="C26" s="933"/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3"/>
      <c r="Q26" s="933"/>
      <c r="R26" s="933"/>
      <c r="S26" s="933"/>
      <c r="T26" s="933"/>
      <c r="U26" s="933"/>
      <c r="V26" s="933"/>
      <c r="W26" s="933"/>
      <c r="X26" s="933"/>
      <c r="Y26" s="934"/>
    </row>
    <row r="27" spans="1:30" ht="24" x14ac:dyDescent="0.25">
      <c r="A27" s="894">
        <v>8027</v>
      </c>
      <c r="B27" s="655" t="s">
        <v>88</v>
      </c>
      <c r="C27" s="894" t="s">
        <v>279</v>
      </c>
      <c r="D27" s="329">
        <v>0.02</v>
      </c>
      <c r="E27" s="329">
        <v>0.01</v>
      </c>
      <c r="F27" s="347">
        <v>1.4</v>
      </c>
      <c r="G27" s="329">
        <v>1</v>
      </c>
      <c r="H27" s="329">
        <v>0.01</v>
      </c>
      <c r="I27" s="329" t="s">
        <v>55</v>
      </c>
      <c r="J27" s="329">
        <v>0.4</v>
      </c>
      <c r="K27" s="329">
        <v>1</v>
      </c>
      <c r="L27" s="329">
        <v>0.1</v>
      </c>
      <c r="M27" s="329">
        <v>0.5</v>
      </c>
      <c r="N27" s="329">
        <v>266</v>
      </c>
      <c r="O27" s="329">
        <v>54950</v>
      </c>
      <c r="P27" s="329" t="s">
        <v>55</v>
      </c>
      <c r="Q27" s="329" t="s">
        <v>55</v>
      </c>
      <c r="R27" s="329" t="s">
        <v>55</v>
      </c>
      <c r="S27" s="329" t="s">
        <v>55</v>
      </c>
      <c r="T27" s="329" t="s">
        <v>55</v>
      </c>
      <c r="U27" s="937" t="s">
        <v>93</v>
      </c>
      <c r="V27" s="894">
        <v>2908</v>
      </c>
      <c r="W27" s="329">
        <v>0</v>
      </c>
      <c r="X27" s="329">
        <f>ROUND((D27*E27*F27*G27*H27*J27*K27*L27*N27*1000000*M27/3600)*(1-W27),4)</f>
        <v>4.1000000000000003E-3</v>
      </c>
      <c r="Y27" s="329">
        <f>ROUND((D27*E27*F27*G27*H27*J27*K27*L27*M27*O27)*(1-W27),4)</f>
        <v>3.0999999999999999E-3</v>
      </c>
    </row>
    <row r="28" spans="1:30" ht="36" x14ac:dyDescent="0.25">
      <c r="A28" s="895"/>
      <c r="B28" s="655" t="s">
        <v>552</v>
      </c>
      <c r="C28" s="927"/>
      <c r="D28" s="329">
        <v>0.02</v>
      </c>
      <c r="E28" s="329">
        <v>0.01</v>
      </c>
      <c r="F28" s="347">
        <v>1.4</v>
      </c>
      <c r="G28" s="329">
        <v>1</v>
      </c>
      <c r="H28" s="329">
        <v>0.01</v>
      </c>
      <c r="I28" s="329" t="s">
        <v>55</v>
      </c>
      <c r="J28" s="329">
        <v>0.4</v>
      </c>
      <c r="K28" s="329" t="s">
        <v>55</v>
      </c>
      <c r="L28" s="329" t="s">
        <v>55</v>
      </c>
      <c r="M28" s="329">
        <v>0.5</v>
      </c>
      <c r="N28" s="329">
        <v>266</v>
      </c>
      <c r="O28" s="329">
        <v>54950</v>
      </c>
      <c r="P28" s="329" t="s">
        <v>55</v>
      </c>
      <c r="Q28" s="329" t="s">
        <v>55</v>
      </c>
      <c r="R28" s="329" t="s">
        <v>55</v>
      </c>
      <c r="S28" s="329" t="s">
        <v>55</v>
      </c>
      <c r="T28" s="329" t="s">
        <v>55</v>
      </c>
      <c r="U28" s="943"/>
      <c r="V28" s="895"/>
      <c r="W28" s="329">
        <v>0.85</v>
      </c>
      <c r="X28" s="329">
        <f>ROUND((D28*E28*F28*G28*H28*J28*N28*1000000*M28/3600)*(1-W28),4)</f>
        <v>6.1999999999999998E-3</v>
      </c>
      <c r="Y28" s="329">
        <f>ROUND((D28*E28*F28*G28*H28*J28*M28*O28)*(1-W28),4)</f>
        <v>4.5999999999999999E-3</v>
      </c>
    </row>
    <row r="29" spans="1:30" x14ac:dyDescent="0.25">
      <c r="A29" s="895"/>
      <c r="B29" s="655" t="s">
        <v>87</v>
      </c>
      <c r="C29" s="927"/>
      <c r="D29" s="329" t="s">
        <v>55</v>
      </c>
      <c r="E29" s="329" t="s">
        <v>55</v>
      </c>
      <c r="F29" s="347">
        <v>1.4</v>
      </c>
      <c r="G29" s="329">
        <v>1</v>
      </c>
      <c r="H29" s="329">
        <v>0.01</v>
      </c>
      <c r="I29" s="329">
        <v>1.3</v>
      </c>
      <c r="J29" s="329">
        <v>0.4</v>
      </c>
      <c r="K29" s="329" t="s">
        <v>55</v>
      </c>
      <c r="L29" s="329" t="s">
        <v>55</v>
      </c>
      <c r="M29" s="329" t="s">
        <v>55</v>
      </c>
      <c r="N29" s="329" t="s">
        <v>55</v>
      </c>
      <c r="O29" s="329" t="s">
        <v>55</v>
      </c>
      <c r="P29" s="329">
        <v>2E-3</v>
      </c>
      <c r="Q29" s="329">
        <v>5000</v>
      </c>
      <c r="R29" s="329">
        <v>24</v>
      </c>
      <c r="S29" s="329">
        <v>0</v>
      </c>
      <c r="T29" s="329">
        <v>25</v>
      </c>
      <c r="U29" s="943"/>
      <c r="V29" s="895"/>
      <c r="W29" s="329">
        <v>0.85</v>
      </c>
      <c r="X29" s="329">
        <f>ROUND((F29*G29*H29*I29*J29*P29*Q29)*(1-W29),4)</f>
        <v>1.09E-2</v>
      </c>
      <c r="Y29" s="329">
        <f>ROUND((((X29*R29*(110-T29-S29)*3600)/1000000)),4)</f>
        <v>0.08</v>
      </c>
    </row>
    <row r="30" spans="1:30" ht="24" x14ac:dyDescent="0.25">
      <c r="A30" s="863"/>
      <c r="B30" s="655" t="s">
        <v>551</v>
      </c>
      <c r="C30" s="863"/>
      <c r="D30" s="329">
        <v>0.02</v>
      </c>
      <c r="E30" s="329">
        <v>0.01</v>
      </c>
      <c r="F30" s="347">
        <v>1.4</v>
      </c>
      <c r="G30" s="329">
        <v>1</v>
      </c>
      <c r="H30" s="329">
        <v>0.01</v>
      </c>
      <c r="I30" s="329" t="s">
        <v>55</v>
      </c>
      <c r="J30" s="329">
        <v>0.4</v>
      </c>
      <c r="K30" s="329" t="s">
        <v>55</v>
      </c>
      <c r="L30" s="329" t="s">
        <v>55</v>
      </c>
      <c r="M30" s="329">
        <v>0.5</v>
      </c>
      <c r="N30" s="329">
        <v>266</v>
      </c>
      <c r="O30" s="329">
        <v>54950</v>
      </c>
      <c r="P30" s="329" t="s">
        <v>55</v>
      </c>
      <c r="Q30" s="329" t="s">
        <v>55</v>
      </c>
      <c r="R30" s="329" t="s">
        <v>55</v>
      </c>
      <c r="S30" s="329" t="s">
        <v>55</v>
      </c>
      <c r="T30" s="329" t="s">
        <v>55</v>
      </c>
      <c r="U30" s="938"/>
      <c r="V30" s="928"/>
      <c r="W30" s="329">
        <v>0</v>
      </c>
      <c r="X30" s="329">
        <f>ROUND((D30*E30*F30*G30*H30*J30*N30*1000000*M30/3600)*(1-W30),4)</f>
        <v>4.1399999999999999E-2</v>
      </c>
      <c r="Y30" s="329">
        <f>ROUND((D30*E30*F30*G30*H30*J30*M30*O30)*(1-W30),4)</f>
        <v>3.0800000000000001E-2</v>
      </c>
    </row>
    <row r="31" spans="1:30" ht="47.25" customHeight="1" x14ac:dyDescent="0.25">
      <c r="A31" s="886" t="s">
        <v>548</v>
      </c>
      <c r="B31" s="887"/>
      <c r="C31" s="887"/>
      <c r="D31" s="887"/>
      <c r="E31" s="887"/>
      <c r="F31" s="887"/>
      <c r="G31" s="887"/>
      <c r="H31" s="887"/>
      <c r="I31" s="887"/>
      <c r="J31" s="887"/>
      <c r="K31" s="887"/>
      <c r="L31" s="887"/>
      <c r="M31" s="887"/>
      <c r="N31" s="887"/>
      <c r="O31" s="887"/>
      <c r="P31" s="887"/>
      <c r="Q31" s="887"/>
      <c r="R31" s="887"/>
      <c r="S31" s="887"/>
      <c r="T31" s="887"/>
      <c r="U31" s="348" t="s">
        <v>93</v>
      </c>
      <c r="V31" s="348">
        <v>2908</v>
      </c>
      <c r="W31" s="348"/>
      <c r="X31" s="348">
        <f>X27+X28+X29+X30</f>
        <v>6.2600000000000003E-2</v>
      </c>
      <c r="Y31" s="348">
        <f>SUM(Y27:Y30)</f>
        <v>0.11849999999999999</v>
      </c>
      <c r="Z31" s="234"/>
      <c r="AA31" s="234"/>
    </row>
    <row r="32" spans="1:30" ht="15" customHeight="1" x14ac:dyDescent="0.25">
      <c r="A32" s="932" t="s">
        <v>685</v>
      </c>
      <c r="B32" s="933"/>
      <c r="C32" s="933"/>
      <c r="D32" s="933"/>
      <c r="E32" s="933"/>
      <c r="F32" s="933"/>
      <c r="G32" s="933"/>
      <c r="H32" s="933"/>
      <c r="I32" s="933"/>
      <c r="J32" s="933"/>
      <c r="K32" s="933"/>
      <c r="L32" s="933"/>
      <c r="M32" s="933"/>
      <c r="N32" s="933"/>
      <c r="O32" s="933"/>
      <c r="P32" s="933"/>
      <c r="Q32" s="933"/>
      <c r="R32" s="933"/>
      <c r="S32" s="933"/>
      <c r="T32" s="933"/>
      <c r="U32" s="933"/>
      <c r="V32" s="933"/>
      <c r="W32" s="933"/>
      <c r="X32" s="933"/>
      <c r="Y32" s="934"/>
    </row>
    <row r="33" spans="1:28" ht="23.25" customHeight="1" x14ac:dyDescent="0.25">
      <c r="A33" s="894">
        <v>8028</v>
      </c>
      <c r="B33" s="346" t="s">
        <v>88</v>
      </c>
      <c r="C33" s="894" t="s">
        <v>280</v>
      </c>
      <c r="D33" s="329">
        <v>0.05</v>
      </c>
      <c r="E33" s="329">
        <v>0.02</v>
      </c>
      <c r="F33" s="347">
        <v>1.4</v>
      </c>
      <c r="G33" s="329">
        <v>1</v>
      </c>
      <c r="H33" s="329">
        <v>0.01</v>
      </c>
      <c r="I33" s="329" t="s">
        <v>55</v>
      </c>
      <c r="J33" s="329">
        <v>0.5</v>
      </c>
      <c r="K33" s="329">
        <v>1</v>
      </c>
      <c r="L33" s="329">
        <v>0.1</v>
      </c>
      <c r="M33" s="329">
        <v>0.5</v>
      </c>
      <c r="N33" s="329">
        <v>945</v>
      </c>
      <c r="O33" s="329">
        <v>313781</v>
      </c>
      <c r="P33" s="329" t="s">
        <v>55</v>
      </c>
      <c r="Q33" s="329" t="s">
        <v>55</v>
      </c>
      <c r="R33" s="329" t="s">
        <v>55</v>
      </c>
      <c r="S33" s="329" t="s">
        <v>55</v>
      </c>
      <c r="T33" s="329" t="s">
        <v>55</v>
      </c>
      <c r="U33" s="894" t="s">
        <v>93</v>
      </c>
      <c r="V33" s="894">
        <v>2908</v>
      </c>
      <c r="W33" s="329">
        <v>0</v>
      </c>
      <c r="X33" s="329">
        <f>ROUND((D33*E33*F33*G33*H33*J33*K33*L33*N33*1000000*M33/3600)*(1-W33),4)</f>
        <v>9.1899999999999996E-2</v>
      </c>
      <c r="Y33" s="329">
        <f>ROUND((D33*E33*F33*G33*H33*J33*K33*L33*M33*O33)*(1-W33),4)</f>
        <v>0.10979999999999999</v>
      </c>
      <c r="Z33" s="9" t="s">
        <v>62</v>
      </c>
      <c r="AA33" s="9"/>
      <c r="AB33" s="358"/>
    </row>
    <row r="34" spans="1:28" ht="36.75" customHeight="1" x14ac:dyDescent="0.25">
      <c r="A34" s="895"/>
      <c r="B34" s="346" t="s">
        <v>552</v>
      </c>
      <c r="C34" s="927"/>
      <c r="D34" s="329">
        <v>0.05</v>
      </c>
      <c r="E34" s="329">
        <v>0.02</v>
      </c>
      <c r="F34" s="347">
        <v>1.4</v>
      </c>
      <c r="G34" s="329">
        <v>1</v>
      </c>
      <c r="H34" s="329">
        <v>0.01</v>
      </c>
      <c r="I34" s="329" t="s">
        <v>55</v>
      </c>
      <c r="J34" s="329">
        <v>0.5</v>
      </c>
      <c r="K34" s="329" t="s">
        <v>55</v>
      </c>
      <c r="L34" s="329" t="s">
        <v>55</v>
      </c>
      <c r="M34" s="329">
        <v>0.5</v>
      </c>
      <c r="N34" s="329">
        <v>945</v>
      </c>
      <c r="O34" s="329">
        <v>313781</v>
      </c>
      <c r="P34" s="329" t="s">
        <v>55</v>
      </c>
      <c r="Q34" s="329" t="s">
        <v>55</v>
      </c>
      <c r="R34" s="329" t="s">
        <v>55</v>
      </c>
      <c r="S34" s="329" t="s">
        <v>55</v>
      </c>
      <c r="T34" s="329" t="s">
        <v>55</v>
      </c>
      <c r="U34" s="895"/>
      <c r="V34" s="895"/>
      <c r="W34" s="329">
        <v>0.85</v>
      </c>
      <c r="X34" s="329">
        <f>ROUND((D34*E34*F34*G34*H34*J34*N34*1000000*M34/3600)*(1-W34),4)</f>
        <v>0.13780000000000001</v>
      </c>
      <c r="Y34" s="329">
        <f>ROUND((D34*E34*F34*G34*H34*J34*M34*O34)*(1-W34),4)</f>
        <v>0.16470000000000001</v>
      </c>
      <c r="Z34" t="s">
        <v>549</v>
      </c>
    </row>
    <row r="35" spans="1:28" ht="16.5" customHeight="1" x14ac:dyDescent="0.25">
      <c r="A35" s="895"/>
      <c r="B35" s="346" t="s">
        <v>87</v>
      </c>
      <c r="C35" s="927"/>
      <c r="D35" s="329" t="s">
        <v>55</v>
      </c>
      <c r="E35" s="329" t="s">
        <v>55</v>
      </c>
      <c r="F35" s="347">
        <v>1.4</v>
      </c>
      <c r="G35" s="329">
        <v>1</v>
      </c>
      <c r="H35" s="329">
        <v>0.01</v>
      </c>
      <c r="I35" s="329">
        <v>1.3</v>
      </c>
      <c r="J35" s="329">
        <v>0.5</v>
      </c>
      <c r="K35" s="329" t="s">
        <v>55</v>
      </c>
      <c r="L35" s="329" t="s">
        <v>55</v>
      </c>
      <c r="M35" s="329" t="s">
        <v>55</v>
      </c>
      <c r="N35" s="329" t="s">
        <v>55</v>
      </c>
      <c r="O35" s="329" t="s">
        <v>55</v>
      </c>
      <c r="P35" s="329">
        <v>4.0000000000000001E-3</v>
      </c>
      <c r="Q35" s="329">
        <v>5000</v>
      </c>
      <c r="R35" s="329">
        <v>24</v>
      </c>
      <c r="S35" s="329">
        <v>0</v>
      </c>
      <c r="T35" s="329">
        <v>20</v>
      </c>
      <c r="U35" s="895"/>
      <c r="V35" s="895"/>
      <c r="W35" s="329">
        <v>0.85</v>
      </c>
      <c r="X35" s="329">
        <f>ROUND((F35*G35*H35*I35*J35*P35*Q35)*(1-W35),4)</f>
        <v>2.7300000000000001E-2</v>
      </c>
      <c r="Y35" s="329">
        <f>ROUND((((X35*R35*(93-T35-S35)*3600)/1000000)),4)</f>
        <v>0.17219999999999999</v>
      </c>
    </row>
    <row r="36" spans="1:28" ht="15.75" customHeight="1" x14ac:dyDescent="0.25">
      <c r="A36" s="863"/>
      <c r="B36" s="346" t="s">
        <v>295</v>
      </c>
      <c r="C36" s="863"/>
      <c r="D36" s="329">
        <v>0.05</v>
      </c>
      <c r="E36" s="329">
        <v>0.02</v>
      </c>
      <c r="F36" s="347">
        <v>1.4</v>
      </c>
      <c r="G36" s="329">
        <v>1</v>
      </c>
      <c r="H36" s="329">
        <v>0.01</v>
      </c>
      <c r="I36" s="329" t="s">
        <v>55</v>
      </c>
      <c r="J36" s="329">
        <v>0.5</v>
      </c>
      <c r="K36" s="329" t="s">
        <v>55</v>
      </c>
      <c r="L36" s="329" t="s">
        <v>55</v>
      </c>
      <c r="M36" s="329">
        <v>0.5</v>
      </c>
      <c r="N36" s="329">
        <v>945</v>
      </c>
      <c r="O36" s="329">
        <v>313781</v>
      </c>
      <c r="P36" s="329" t="s">
        <v>55</v>
      </c>
      <c r="Q36" s="329" t="s">
        <v>55</v>
      </c>
      <c r="R36" s="329" t="s">
        <v>55</v>
      </c>
      <c r="S36" s="329" t="s">
        <v>55</v>
      </c>
      <c r="T36" s="329" t="s">
        <v>55</v>
      </c>
      <c r="U36" s="928"/>
      <c r="V36" s="928"/>
      <c r="W36" s="329">
        <v>0</v>
      </c>
      <c r="X36" s="329">
        <f>ROUND((D36*E36*F36*G36*H36*J36*N36*1000000*M36/3600)*(1-W36),4)</f>
        <v>0.91879999999999995</v>
      </c>
      <c r="Y36" s="329">
        <f>ROUND((D36*E36*F36*G36*H36*J36*M36*O36)*(1-W36),4)</f>
        <v>1.0982000000000001</v>
      </c>
    </row>
    <row r="37" spans="1:28" ht="45" customHeight="1" x14ac:dyDescent="0.25">
      <c r="A37" s="886" t="s">
        <v>550</v>
      </c>
      <c r="B37" s="887"/>
      <c r="C37" s="887"/>
      <c r="D37" s="887"/>
      <c r="E37" s="887"/>
      <c r="F37" s="887"/>
      <c r="G37" s="887"/>
      <c r="H37" s="887"/>
      <c r="I37" s="887"/>
      <c r="J37" s="887"/>
      <c r="K37" s="887"/>
      <c r="L37" s="887"/>
      <c r="M37" s="887"/>
      <c r="N37" s="887"/>
      <c r="O37" s="887"/>
      <c r="P37" s="887"/>
      <c r="Q37" s="887"/>
      <c r="R37" s="887"/>
      <c r="S37" s="887"/>
      <c r="T37" s="887"/>
      <c r="U37" s="348" t="s">
        <v>93</v>
      </c>
      <c r="V37" s="348">
        <v>2908</v>
      </c>
      <c r="W37" s="348"/>
      <c r="X37" s="348">
        <f>X33+X34+X35+X36</f>
        <v>1.1758</v>
      </c>
      <c r="Y37" s="348">
        <f>SUM(Y33:Y36)</f>
        <v>1.5449000000000002</v>
      </c>
      <c r="Z37" s="234"/>
      <c r="AA37" s="234"/>
    </row>
    <row r="38" spans="1:28" ht="15" customHeight="1" x14ac:dyDescent="0.25">
      <c r="A38" s="932" t="s">
        <v>689</v>
      </c>
      <c r="B38" s="933"/>
      <c r="C38" s="933"/>
      <c r="D38" s="933"/>
      <c r="E38" s="933"/>
      <c r="F38" s="933"/>
      <c r="G38" s="933"/>
      <c r="H38" s="933"/>
      <c r="I38" s="933"/>
      <c r="J38" s="933"/>
      <c r="K38" s="933"/>
      <c r="L38" s="933"/>
      <c r="M38" s="933"/>
      <c r="N38" s="933"/>
      <c r="O38" s="933"/>
      <c r="P38" s="933"/>
      <c r="Q38" s="933"/>
      <c r="R38" s="933"/>
      <c r="S38" s="933"/>
      <c r="T38" s="933"/>
      <c r="U38" s="933"/>
      <c r="V38" s="933"/>
      <c r="W38" s="933"/>
      <c r="X38" s="933"/>
      <c r="Y38" s="934"/>
      <c r="Z38" s="3"/>
      <c r="AA38" s="3"/>
    </row>
    <row r="39" spans="1:28" ht="29.25" customHeight="1" x14ac:dyDescent="0.25">
      <c r="A39" s="894">
        <v>8032</v>
      </c>
      <c r="B39" s="346" t="s">
        <v>88</v>
      </c>
      <c r="C39" s="894" t="s">
        <v>682</v>
      </c>
      <c r="D39" s="329">
        <v>0.02</v>
      </c>
      <c r="E39" s="329">
        <v>0.01</v>
      </c>
      <c r="F39" s="347">
        <v>1.4</v>
      </c>
      <c r="G39" s="329">
        <v>1</v>
      </c>
      <c r="H39" s="329">
        <v>0.01</v>
      </c>
      <c r="I39" s="329" t="s">
        <v>55</v>
      </c>
      <c r="J39" s="329">
        <v>0.2</v>
      </c>
      <c r="K39" s="329">
        <v>1</v>
      </c>
      <c r="L39" s="329">
        <v>0.1</v>
      </c>
      <c r="M39" s="329">
        <v>0.5</v>
      </c>
      <c r="N39" s="329">
        <v>646</v>
      </c>
      <c r="O39" s="329">
        <v>905544</v>
      </c>
      <c r="P39" s="329" t="s">
        <v>55</v>
      </c>
      <c r="Q39" s="329" t="s">
        <v>55</v>
      </c>
      <c r="R39" s="329" t="s">
        <v>55</v>
      </c>
      <c r="S39" s="329" t="s">
        <v>55</v>
      </c>
      <c r="T39" s="329" t="s">
        <v>55</v>
      </c>
      <c r="U39" s="894" t="s">
        <v>93</v>
      </c>
      <c r="V39" s="894">
        <v>2908</v>
      </c>
      <c r="W39" s="329">
        <v>0</v>
      </c>
      <c r="X39" s="329">
        <f>ROUND((D39*E39*F39*G39*H39*J39*K39*L39*N39*1000000*M39/3600)*(1-W39),4)</f>
        <v>5.0000000000000001E-3</v>
      </c>
      <c r="Y39" s="329">
        <f>ROUND((D39*E39*F39*G39*H39*J39*K39*L39*M39*O39)*(1-W39),4)</f>
        <v>2.5399999999999999E-2</v>
      </c>
      <c r="Z39" s="3"/>
      <c r="AA39" s="3"/>
    </row>
    <row r="40" spans="1:28" ht="38.25" customHeight="1" x14ac:dyDescent="0.25">
      <c r="A40" s="895"/>
      <c r="B40" s="346" t="s">
        <v>552</v>
      </c>
      <c r="C40" s="927"/>
      <c r="D40" s="329">
        <v>0.02</v>
      </c>
      <c r="E40" s="329">
        <v>0.01</v>
      </c>
      <c r="F40" s="347">
        <v>1.4</v>
      </c>
      <c r="G40" s="329">
        <v>1</v>
      </c>
      <c r="H40" s="329">
        <v>0.01</v>
      </c>
      <c r="I40" s="329" t="s">
        <v>55</v>
      </c>
      <c r="J40" s="329">
        <v>0.2</v>
      </c>
      <c r="K40" s="329" t="s">
        <v>55</v>
      </c>
      <c r="L40" s="329" t="s">
        <v>55</v>
      </c>
      <c r="M40" s="329">
        <v>0.5</v>
      </c>
      <c r="N40" s="329">
        <v>646</v>
      </c>
      <c r="O40" s="329">
        <v>905544</v>
      </c>
      <c r="P40" s="329" t="s">
        <v>55</v>
      </c>
      <c r="Q40" s="329" t="s">
        <v>55</v>
      </c>
      <c r="R40" s="329" t="s">
        <v>55</v>
      </c>
      <c r="S40" s="329" t="s">
        <v>55</v>
      </c>
      <c r="T40" s="329" t="s">
        <v>55</v>
      </c>
      <c r="U40" s="895"/>
      <c r="V40" s="895"/>
      <c r="W40" s="329">
        <v>0.85</v>
      </c>
      <c r="X40" s="329">
        <f>ROUND((D40*E40*F40*G40*H40*J40*N40*1000000*M40/3600)*(1-W40),4)</f>
        <v>7.4999999999999997E-3</v>
      </c>
      <c r="Y40" s="329">
        <f>ROUND((D40*E40*F40*G40*H40*J40*M40*O40)*(1-W40),4)</f>
        <v>3.7999999999999999E-2</v>
      </c>
      <c r="Z40" s="9" t="s">
        <v>688</v>
      </c>
      <c r="AA40" s="9"/>
      <c r="AB40" s="9"/>
    </row>
    <row r="41" spans="1:28" ht="15.75" customHeight="1" x14ac:dyDescent="0.25">
      <c r="A41" s="895"/>
      <c r="B41" s="346" t="s">
        <v>87</v>
      </c>
      <c r="C41" s="927"/>
      <c r="D41" s="329" t="s">
        <v>55</v>
      </c>
      <c r="E41" s="329" t="s">
        <v>55</v>
      </c>
      <c r="F41" s="347">
        <v>1.4</v>
      </c>
      <c r="G41" s="329">
        <v>1</v>
      </c>
      <c r="H41" s="329">
        <v>0.01</v>
      </c>
      <c r="I41" s="329">
        <v>1.3</v>
      </c>
      <c r="J41" s="329">
        <v>0.2</v>
      </c>
      <c r="K41" s="329" t="s">
        <v>55</v>
      </c>
      <c r="L41" s="329" t="s">
        <v>55</v>
      </c>
      <c r="M41" s="329" t="s">
        <v>55</v>
      </c>
      <c r="N41" s="329" t="s">
        <v>55</v>
      </c>
      <c r="O41" s="329" t="s">
        <v>55</v>
      </c>
      <c r="P41" s="329">
        <v>2E-3</v>
      </c>
      <c r="Q41" s="329">
        <v>20000</v>
      </c>
      <c r="R41" s="329">
        <v>24</v>
      </c>
      <c r="S41" s="329">
        <v>0</v>
      </c>
      <c r="T41" s="329">
        <v>20</v>
      </c>
      <c r="U41" s="895"/>
      <c r="V41" s="895"/>
      <c r="W41" s="329">
        <v>0.85</v>
      </c>
      <c r="X41" s="329">
        <f>ROUND((F41*G41*H41*I41*J41*P41*Q41)*(1-W41),4)</f>
        <v>2.18E-2</v>
      </c>
      <c r="Y41" s="329">
        <f>ROUND((((X41*R41*(110-T41-S41)*3600)/1000000)),4)</f>
        <v>0.16950000000000001</v>
      </c>
      <c r="Z41" t="s">
        <v>549</v>
      </c>
      <c r="AB41"/>
    </row>
    <row r="42" spans="1:28" ht="24.75" customHeight="1" x14ac:dyDescent="0.25">
      <c r="A42" s="863"/>
      <c r="B42" s="346" t="s">
        <v>551</v>
      </c>
      <c r="C42" s="863"/>
      <c r="D42" s="329">
        <v>0.02</v>
      </c>
      <c r="E42" s="329">
        <v>0.01</v>
      </c>
      <c r="F42" s="347">
        <v>1.4</v>
      </c>
      <c r="G42" s="329">
        <v>1</v>
      </c>
      <c r="H42" s="329">
        <v>0.01</v>
      </c>
      <c r="I42" s="329" t="s">
        <v>55</v>
      </c>
      <c r="J42" s="329">
        <v>0.2</v>
      </c>
      <c r="K42" s="329" t="s">
        <v>55</v>
      </c>
      <c r="L42" s="329" t="s">
        <v>55</v>
      </c>
      <c r="M42" s="329">
        <v>0.5</v>
      </c>
      <c r="N42" s="329">
        <v>646</v>
      </c>
      <c r="O42" s="329">
        <v>905544</v>
      </c>
      <c r="P42" s="329" t="s">
        <v>55</v>
      </c>
      <c r="Q42" s="329" t="s">
        <v>55</v>
      </c>
      <c r="R42" s="329" t="s">
        <v>55</v>
      </c>
      <c r="S42" s="329" t="s">
        <v>55</v>
      </c>
      <c r="T42" s="329" t="s">
        <v>55</v>
      </c>
      <c r="U42" s="928"/>
      <c r="V42" s="928"/>
      <c r="W42" s="329">
        <v>0</v>
      </c>
      <c r="X42" s="329">
        <f>ROUND((D42*E42*F42*G42*H42*J42*N42*1000000*M42/3600)*(1-W42),4)</f>
        <v>5.0200000000000002E-2</v>
      </c>
      <c r="Y42" s="329">
        <f>ROUND((D42*E42*F42*G42*H42*J42*M42*O42)*(1-W42),4)</f>
        <v>0.25359999999999999</v>
      </c>
      <c r="Z42" s="3"/>
      <c r="AA42" s="3"/>
    </row>
    <row r="43" spans="1:28" ht="45" customHeight="1" x14ac:dyDescent="0.25">
      <c r="A43" s="886" t="s">
        <v>690</v>
      </c>
      <c r="B43" s="887"/>
      <c r="C43" s="887"/>
      <c r="D43" s="887"/>
      <c r="E43" s="887"/>
      <c r="F43" s="887"/>
      <c r="G43" s="887"/>
      <c r="H43" s="887"/>
      <c r="I43" s="887"/>
      <c r="J43" s="887"/>
      <c r="K43" s="887"/>
      <c r="L43" s="887"/>
      <c r="M43" s="887"/>
      <c r="N43" s="887"/>
      <c r="O43" s="887"/>
      <c r="P43" s="887"/>
      <c r="Q43" s="887"/>
      <c r="R43" s="887"/>
      <c r="S43" s="887"/>
      <c r="T43" s="887"/>
      <c r="U43" s="348" t="s">
        <v>93</v>
      </c>
      <c r="V43" s="348">
        <v>2908</v>
      </c>
      <c r="W43" s="348"/>
      <c r="X43" s="348">
        <f>X39+X40+X41+X42</f>
        <v>8.4499999999999992E-2</v>
      </c>
      <c r="Y43" s="348">
        <f>SUM(Y39:Y42)</f>
        <v>0.48649999999999999</v>
      </c>
      <c r="Z43" s="709">
        <f>X31+X37+X43</f>
        <v>1.3229</v>
      </c>
      <c r="AA43" s="710">
        <f>Y31+Y37+Y43</f>
        <v>2.1499000000000001</v>
      </c>
      <c r="AB43" s="711">
        <v>2027</v>
      </c>
    </row>
    <row r="44" spans="1:28" x14ac:dyDescent="0.25">
      <c r="A44" s="929" t="s">
        <v>98</v>
      </c>
      <c r="B44" s="930"/>
      <c r="C44" s="930"/>
      <c r="D44" s="930"/>
      <c r="E44" s="930"/>
      <c r="F44" s="930"/>
      <c r="G44" s="930"/>
      <c r="H44" s="930"/>
      <c r="I44" s="930"/>
      <c r="J44" s="930"/>
      <c r="K44" s="930"/>
      <c r="L44" s="930"/>
      <c r="M44" s="930"/>
      <c r="N44" s="930"/>
      <c r="O44" s="930"/>
      <c r="P44" s="930"/>
      <c r="Q44" s="930"/>
      <c r="R44" s="930"/>
      <c r="S44" s="930"/>
      <c r="T44" s="930"/>
      <c r="U44" s="930"/>
      <c r="V44" s="930"/>
      <c r="W44" s="930"/>
      <c r="X44" s="930"/>
      <c r="Y44" s="931"/>
    </row>
    <row r="45" spans="1:28" x14ac:dyDescent="0.25">
      <c r="A45" s="932" t="s">
        <v>547</v>
      </c>
      <c r="B45" s="933"/>
      <c r="C45" s="933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  <c r="P45" s="933"/>
      <c r="Q45" s="933"/>
      <c r="R45" s="933"/>
      <c r="S45" s="933"/>
      <c r="T45" s="933"/>
      <c r="U45" s="933"/>
      <c r="V45" s="933"/>
      <c r="W45" s="933"/>
      <c r="X45" s="933"/>
      <c r="Y45" s="934"/>
    </row>
    <row r="46" spans="1:28" ht="24" x14ac:dyDescent="0.25">
      <c r="A46" s="894">
        <v>8027</v>
      </c>
      <c r="B46" s="346" t="s">
        <v>88</v>
      </c>
      <c r="C46" s="894" t="s">
        <v>279</v>
      </c>
      <c r="D46" s="329">
        <v>0.02</v>
      </c>
      <c r="E46" s="329">
        <v>0.01</v>
      </c>
      <c r="F46" s="347">
        <v>1.4</v>
      </c>
      <c r="G46" s="329">
        <v>1</v>
      </c>
      <c r="H46" s="329">
        <v>0.01</v>
      </c>
      <c r="I46" s="329" t="s">
        <v>55</v>
      </c>
      <c r="J46" s="329">
        <v>0.4</v>
      </c>
      <c r="K46" s="329">
        <v>1</v>
      </c>
      <c r="L46" s="329">
        <v>0.1</v>
      </c>
      <c r="M46" s="329">
        <v>0.5</v>
      </c>
      <c r="N46" s="329">
        <v>487</v>
      </c>
      <c r="O46" s="329">
        <v>67741</v>
      </c>
      <c r="P46" s="329" t="s">
        <v>55</v>
      </c>
      <c r="Q46" s="329" t="s">
        <v>55</v>
      </c>
      <c r="R46" s="329" t="s">
        <v>55</v>
      </c>
      <c r="S46" s="329" t="s">
        <v>55</v>
      </c>
      <c r="T46" s="329" t="s">
        <v>55</v>
      </c>
      <c r="U46" s="894" t="s">
        <v>93</v>
      </c>
      <c r="V46" s="894">
        <v>2908</v>
      </c>
      <c r="W46" s="329">
        <v>0</v>
      </c>
      <c r="X46" s="329">
        <f>ROUND((D46*E46*F46*G46*H46*J46*K46*L46*N46*1000000*M46/3600)*(1-W46),4)</f>
        <v>7.6E-3</v>
      </c>
      <c r="Y46" s="329">
        <f>ROUND((D46*E46*F46*G46*H46*J46*K46*L46*M46*O46)*(1-W46),4)</f>
        <v>3.8E-3</v>
      </c>
    </row>
    <row r="47" spans="1:28" ht="36" x14ac:dyDescent="0.25">
      <c r="A47" s="895"/>
      <c r="B47" s="346" t="s">
        <v>552</v>
      </c>
      <c r="C47" s="927"/>
      <c r="D47" s="329">
        <v>0.02</v>
      </c>
      <c r="E47" s="329">
        <v>0.01</v>
      </c>
      <c r="F47" s="347">
        <v>1.4</v>
      </c>
      <c r="G47" s="329">
        <v>1</v>
      </c>
      <c r="H47" s="329">
        <v>0.01</v>
      </c>
      <c r="I47" s="329" t="s">
        <v>55</v>
      </c>
      <c r="J47" s="329">
        <v>0.4</v>
      </c>
      <c r="K47" s="329" t="s">
        <v>55</v>
      </c>
      <c r="L47" s="329" t="s">
        <v>55</v>
      </c>
      <c r="M47" s="329">
        <v>0.5</v>
      </c>
      <c r="N47" s="329">
        <v>487</v>
      </c>
      <c r="O47" s="329">
        <v>67741</v>
      </c>
      <c r="P47" s="329" t="s">
        <v>55</v>
      </c>
      <c r="Q47" s="329" t="s">
        <v>55</v>
      </c>
      <c r="R47" s="329" t="s">
        <v>55</v>
      </c>
      <c r="S47" s="329" t="s">
        <v>55</v>
      </c>
      <c r="T47" s="329" t="s">
        <v>55</v>
      </c>
      <c r="U47" s="895"/>
      <c r="V47" s="895"/>
      <c r="W47" s="329">
        <v>0.85</v>
      </c>
      <c r="X47" s="329">
        <f>ROUND((D47*E47*F47*G47*H47*J47*N47*1000000*M47/3600)*(1-W47),4)</f>
        <v>1.14E-2</v>
      </c>
      <c r="Y47" s="329">
        <f>ROUND((D47*E47*F47*G47*H47*J47*M47*O47)*(1-W47),4)</f>
        <v>5.7000000000000002E-3</v>
      </c>
    </row>
    <row r="48" spans="1:28" x14ac:dyDescent="0.25">
      <c r="A48" s="895"/>
      <c r="B48" s="346" t="s">
        <v>87</v>
      </c>
      <c r="C48" s="927"/>
      <c r="D48" s="329" t="s">
        <v>55</v>
      </c>
      <c r="E48" s="329" t="s">
        <v>55</v>
      </c>
      <c r="F48" s="347">
        <v>1.4</v>
      </c>
      <c r="G48" s="329">
        <v>1</v>
      </c>
      <c r="H48" s="329">
        <v>0.01</v>
      </c>
      <c r="I48" s="329">
        <v>1.3</v>
      </c>
      <c r="J48" s="329">
        <v>0.4</v>
      </c>
      <c r="K48" s="329" t="s">
        <v>55</v>
      </c>
      <c r="L48" s="329" t="s">
        <v>55</v>
      </c>
      <c r="M48" s="329" t="s">
        <v>55</v>
      </c>
      <c r="N48" s="329" t="s">
        <v>55</v>
      </c>
      <c r="O48" s="329" t="s">
        <v>55</v>
      </c>
      <c r="P48" s="329">
        <v>2E-3</v>
      </c>
      <c r="Q48" s="329">
        <v>5000</v>
      </c>
      <c r="R48" s="329">
        <v>24</v>
      </c>
      <c r="S48" s="329">
        <v>0</v>
      </c>
      <c r="T48" s="329">
        <v>25</v>
      </c>
      <c r="U48" s="895"/>
      <c r="V48" s="895"/>
      <c r="W48" s="329">
        <v>0.85</v>
      </c>
      <c r="X48" s="329">
        <f>ROUND((F48*G48*H48*I48*J48*P48*Q48)*(1-W48),4)</f>
        <v>1.09E-2</v>
      </c>
      <c r="Y48" s="329">
        <f>ROUND((((X48*R48*(110-T48-S48)*3600)/1000000)),4)</f>
        <v>0.08</v>
      </c>
    </row>
    <row r="49" spans="1:28" ht="24" x14ac:dyDescent="0.25">
      <c r="A49" s="863"/>
      <c r="B49" s="346" t="s">
        <v>551</v>
      </c>
      <c r="C49" s="863"/>
      <c r="D49" s="329">
        <v>0.02</v>
      </c>
      <c r="E49" s="329">
        <v>0.01</v>
      </c>
      <c r="F49" s="347">
        <v>1.4</v>
      </c>
      <c r="G49" s="329">
        <v>1</v>
      </c>
      <c r="H49" s="329">
        <v>0.01</v>
      </c>
      <c r="I49" s="329" t="s">
        <v>55</v>
      </c>
      <c r="J49" s="329">
        <v>0.4</v>
      </c>
      <c r="K49" s="329" t="s">
        <v>55</v>
      </c>
      <c r="L49" s="329" t="s">
        <v>55</v>
      </c>
      <c r="M49" s="329">
        <v>0.5</v>
      </c>
      <c r="N49" s="329">
        <v>487</v>
      </c>
      <c r="O49" s="329">
        <v>67741</v>
      </c>
      <c r="P49" s="329" t="s">
        <v>55</v>
      </c>
      <c r="Q49" s="329" t="s">
        <v>55</v>
      </c>
      <c r="R49" s="329" t="s">
        <v>55</v>
      </c>
      <c r="S49" s="329" t="s">
        <v>55</v>
      </c>
      <c r="T49" s="329" t="s">
        <v>55</v>
      </c>
      <c r="U49" s="928"/>
      <c r="V49" s="928"/>
      <c r="W49" s="329">
        <v>0</v>
      </c>
      <c r="X49" s="329">
        <f>ROUND((D49*E49*F49*G49*H49*J49*N49*1000000*M49/3600)*(1-W49),4)</f>
        <v>7.5800000000000006E-2</v>
      </c>
      <c r="Y49" s="329">
        <f>ROUND((D49*E49*F49*G49*H49*J49*M49*O49)*(1-W49),4)</f>
        <v>3.7900000000000003E-2</v>
      </c>
    </row>
    <row r="50" spans="1:28" ht="45" customHeight="1" x14ac:dyDescent="0.25">
      <c r="A50" s="886" t="s">
        <v>548</v>
      </c>
      <c r="B50" s="887"/>
      <c r="C50" s="887"/>
      <c r="D50" s="887"/>
      <c r="E50" s="887"/>
      <c r="F50" s="887"/>
      <c r="G50" s="887"/>
      <c r="H50" s="887"/>
      <c r="I50" s="887"/>
      <c r="J50" s="887"/>
      <c r="K50" s="887"/>
      <c r="L50" s="887"/>
      <c r="M50" s="887"/>
      <c r="N50" s="887"/>
      <c r="O50" s="887"/>
      <c r="P50" s="887"/>
      <c r="Q50" s="887"/>
      <c r="R50" s="887"/>
      <c r="S50" s="887"/>
      <c r="T50" s="887"/>
      <c r="U50" s="348" t="s">
        <v>93</v>
      </c>
      <c r="V50" s="348">
        <v>2908</v>
      </c>
      <c r="W50" s="348"/>
      <c r="X50" s="348">
        <f>X46+X47+X48+X49</f>
        <v>0.1057</v>
      </c>
      <c r="Y50" s="348">
        <f>SUM(Y46:Y49)</f>
        <v>0.12740000000000001</v>
      </c>
      <c r="Z50" s="712"/>
      <c r="AA50" s="234"/>
    </row>
    <row r="51" spans="1:28" ht="15.75" customHeight="1" x14ac:dyDescent="0.25">
      <c r="A51" s="932" t="s">
        <v>686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4"/>
      <c r="Z51" s="3"/>
      <c r="AA51" s="3"/>
    </row>
    <row r="52" spans="1:28" ht="24.75" customHeight="1" x14ac:dyDescent="0.25">
      <c r="A52" s="894">
        <v>8031</v>
      </c>
      <c r="B52" s="346" t="s">
        <v>88</v>
      </c>
      <c r="C52" s="894" t="s">
        <v>682</v>
      </c>
      <c r="D52" s="329">
        <v>0.02</v>
      </c>
      <c r="E52" s="329">
        <v>0.01</v>
      </c>
      <c r="F52" s="347">
        <v>1.4</v>
      </c>
      <c r="G52" s="329">
        <v>1</v>
      </c>
      <c r="H52" s="329">
        <v>0.01</v>
      </c>
      <c r="I52" s="329" t="s">
        <v>55</v>
      </c>
      <c r="J52" s="329">
        <v>0.2</v>
      </c>
      <c r="K52" s="329">
        <v>1</v>
      </c>
      <c r="L52" s="329">
        <v>0.1</v>
      </c>
      <c r="M52" s="329">
        <v>0.5</v>
      </c>
      <c r="N52" s="329">
        <v>510</v>
      </c>
      <c r="O52" s="329">
        <v>387997</v>
      </c>
      <c r="P52" s="329" t="s">
        <v>55</v>
      </c>
      <c r="Q52" s="329" t="s">
        <v>55</v>
      </c>
      <c r="R52" s="329" t="s">
        <v>55</v>
      </c>
      <c r="S52" s="329" t="s">
        <v>55</v>
      </c>
      <c r="T52" s="329" t="s">
        <v>55</v>
      </c>
      <c r="U52" s="894" t="s">
        <v>93</v>
      </c>
      <c r="V52" s="894">
        <v>2908</v>
      </c>
      <c r="W52" s="329">
        <v>0</v>
      </c>
      <c r="X52" s="329">
        <f>ROUND((D52*E52*F52*G52*H52*J52*K52*L52*N52*1000000*M52/3600)*(1-W52),4)</f>
        <v>4.0000000000000001E-3</v>
      </c>
      <c r="Y52" s="329">
        <f>ROUND((D52*E52*F52*G52*H52*J52*K52*L52*M52*O52)*(1-W52),4)</f>
        <v>1.09E-2</v>
      </c>
      <c r="Z52" s="3"/>
      <c r="AA52" s="3"/>
    </row>
    <row r="53" spans="1:28" ht="33.75" customHeight="1" x14ac:dyDescent="0.25">
      <c r="A53" s="895"/>
      <c r="B53" s="346" t="s">
        <v>552</v>
      </c>
      <c r="C53" s="927"/>
      <c r="D53" s="329">
        <v>0.02</v>
      </c>
      <c r="E53" s="329">
        <v>0.01</v>
      </c>
      <c r="F53" s="347">
        <v>1.4</v>
      </c>
      <c r="G53" s="329">
        <v>1</v>
      </c>
      <c r="H53" s="329">
        <v>0.01</v>
      </c>
      <c r="I53" s="329" t="s">
        <v>55</v>
      </c>
      <c r="J53" s="329">
        <v>0.2</v>
      </c>
      <c r="K53" s="329" t="s">
        <v>55</v>
      </c>
      <c r="L53" s="329" t="s">
        <v>55</v>
      </c>
      <c r="M53" s="329">
        <v>0.5</v>
      </c>
      <c r="N53" s="329">
        <v>510</v>
      </c>
      <c r="O53" s="329">
        <v>387997</v>
      </c>
      <c r="P53" s="329" t="s">
        <v>55</v>
      </c>
      <c r="Q53" s="329" t="s">
        <v>55</v>
      </c>
      <c r="R53" s="329" t="s">
        <v>55</v>
      </c>
      <c r="S53" s="329" t="s">
        <v>55</v>
      </c>
      <c r="T53" s="329" t="s">
        <v>55</v>
      </c>
      <c r="U53" s="895"/>
      <c r="V53" s="895"/>
      <c r="W53" s="329">
        <v>0.85</v>
      </c>
      <c r="X53" s="329">
        <f>ROUND((D53*E53*F53*G53*H53*J53*N53*1000000*M53/3600)*(1-W53),4)</f>
        <v>6.0000000000000001E-3</v>
      </c>
      <c r="Y53" s="329">
        <f>ROUND((D53*E53*F53*G53*H53*J53*M53*O53)*(1-W53),4)</f>
        <v>1.6299999999999999E-2</v>
      </c>
      <c r="Z53" s="9" t="s">
        <v>688</v>
      </c>
      <c r="AA53" s="9"/>
      <c r="AB53" s="9"/>
    </row>
    <row r="54" spans="1:28" ht="16.5" customHeight="1" x14ac:dyDescent="0.25">
      <c r="A54" s="895"/>
      <c r="B54" s="346" t="s">
        <v>87</v>
      </c>
      <c r="C54" s="927"/>
      <c r="D54" s="329" t="s">
        <v>55</v>
      </c>
      <c r="E54" s="329" t="s">
        <v>55</v>
      </c>
      <c r="F54" s="347">
        <v>1.4</v>
      </c>
      <c r="G54" s="329">
        <v>1</v>
      </c>
      <c r="H54" s="329">
        <v>0.01</v>
      </c>
      <c r="I54" s="329">
        <v>1.3</v>
      </c>
      <c r="J54" s="329">
        <v>0.2</v>
      </c>
      <c r="K54" s="329" t="s">
        <v>55</v>
      </c>
      <c r="L54" s="329" t="s">
        <v>55</v>
      </c>
      <c r="M54" s="329" t="s">
        <v>55</v>
      </c>
      <c r="N54" s="329" t="s">
        <v>55</v>
      </c>
      <c r="O54" s="329" t="s">
        <v>55</v>
      </c>
      <c r="P54" s="329">
        <v>2E-3</v>
      </c>
      <c r="Q54" s="329">
        <v>10000</v>
      </c>
      <c r="R54" s="329">
        <v>24</v>
      </c>
      <c r="S54" s="329">
        <v>0</v>
      </c>
      <c r="T54" s="329">
        <v>20</v>
      </c>
      <c r="U54" s="895"/>
      <c r="V54" s="895"/>
      <c r="W54" s="329">
        <v>0.85</v>
      </c>
      <c r="X54" s="329">
        <f>ROUND((F54*G54*H54*I54*J54*P54*Q54)*(1-W54),4)</f>
        <v>1.09E-2</v>
      </c>
      <c r="Y54" s="329">
        <f>ROUND((((X54*R54*(110-T54-S54)*3600)/1000000)),4)</f>
        <v>8.48E-2</v>
      </c>
      <c r="Z54" t="s">
        <v>549</v>
      </c>
      <c r="AB54"/>
    </row>
    <row r="55" spans="1:28" ht="27" customHeight="1" x14ac:dyDescent="0.25">
      <c r="A55" s="863"/>
      <c r="B55" s="346" t="s">
        <v>551</v>
      </c>
      <c r="C55" s="863"/>
      <c r="D55" s="329">
        <v>0.02</v>
      </c>
      <c r="E55" s="329">
        <v>0.01</v>
      </c>
      <c r="F55" s="347">
        <v>1.4</v>
      </c>
      <c r="G55" s="329">
        <v>1</v>
      </c>
      <c r="H55" s="329">
        <v>0.01</v>
      </c>
      <c r="I55" s="329" t="s">
        <v>55</v>
      </c>
      <c r="J55" s="329">
        <v>0.2</v>
      </c>
      <c r="K55" s="329" t="s">
        <v>55</v>
      </c>
      <c r="L55" s="329" t="s">
        <v>55</v>
      </c>
      <c r="M55" s="329">
        <v>0.5</v>
      </c>
      <c r="N55" s="329">
        <v>510</v>
      </c>
      <c r="O55" s="329">
        <v>387997</v>
      </c>
      <c r="P55" s="329" t="s">
        <v>55</v>
      </c>
      <c r="Q55" s="329" t="s">
        <v>55</v>
      </c>
      <c r="R55" s="329" t="s">
        <v>55</v>
      </c>
      <c r="S55" s="329" t="s">
        <v>55</v>
      </c>
      <c r="T55" s="329" t="s">
        <v>55</v>
      </c>
      <c r="U55" s="928"/>
      <c r="V55" s="928"/>
      <c r="W55" s="329">
        <v>0</v>
      </c>
      <c r="X55" s="329">
        <f>ROUND((D55*E55*F55*G55*H55*J55*N55*1000000*M55/3600)*(1-W55),4)</f>
        <v>3.9699999999999999E-2</v>
      </c>
      <c r="Y55" s="329">
        <f>ROUND((D55*E55*F55*G55*H55*J55*M55*O55)*(1-W55),4)</f>
        <v>0.1086</v>
      </c>
      <c r="Z55" s="3"/>
      <c r="AA55" s="3"/>
    </row>
    <row r="56" spans="1:28" ht="43.5" customHeight="1" x14ac:dyDescent="0.25">
      <c r="A56" s="886" t="s">
        <v>687</v>
      </c>
      <c r="B56" s="887"/>
      <c r="C56" s="887"/>
      <c r="D56" s="887"/>
      <c r="E56" s="887"/>
      <c r="F56" s="887"/>
      <c r="G56" s="887"/>
      <c r="H56" s="887"/>
      <c r="I56" s="887"/>
      <c r="J56" s="887"/>
      <c r="K56" s="887"/>
      <c r="L56" s="887"/>
      <c r="M56" s="887"/>
      <c r="N56" s="887"/>
      <c r="O56" s="887"/>
      <c r="P56" s="887"/>
      <c r="Q56" s="887"/>
      <c r="R56" s="887"/>
      <c r="S56" s="887"/>
      <c r="T56" s="887"/>
      <c r="U56" s="348" t="s">
        <v>93</v>
      </c>
      <c r="V56" s="348">
        <v>2908</v>
      </c>
      <c r="W56" s="348"/>
      <c r="X56" s="348">
        <f>X52+X53+X54+X55</f>
        <v>6.0600000000000001E-2</v>
      </c>
      <c r="Y56" s="348">
        <f>SUM(Y52:Y55)</f>
        <v>0.22060000000000002</v>
      </c>
      <c r="Z56" s="709">
        <f>X50+X56</f>
        <v>0.1663</v>
      </c>
      <c r="AA56" s="710">
        <f>Y50+Y56</f>
        <v>0.34800000000000003</v>
      </c>
      <c r="AB56" s="711">
        <v>2028</v>
      </c>
    </row>
    <row r="57" spans="1:28" ht="15.75" customHeight="1" x14ac:dyDescent="0.25">
      <c r="A57" s="929" t="s">
        <v>103</v>
      </c>
      <c r="B57" s="930"/>
      <c r="C57" s="930"/>
      <c r="D57" s="930"/>
      <c r="E57" s="930"/>
      <c r="F57" s="930"/>
      <c r="G57" s="930"/>
      <c r="H57" s="930"/>
      <c r="I57" s="930"/>
      <c r="J57" s="930"/>
      <c r="K57" s="930"/>
      <c r="L57" s="930"/>
      <c r="M57" s="930"/>
      <c r="N57" s="930"/>
      <c r="O57" s="930"/>
      <c r="P57" s="930"/>
      <c r="Q57" s="930"/>
      <c r="R57" s="930"/>
      <c r="S57" s="930"/>
      <c r="T57" s="930"/>
      <c r="U57" s="930"/>
      <c r="V57" s="930"/>
      <c r="W57" s="930"/>
      <c r="X57" s="930"/>
      <c r="Y57" s="931"/>
      <c r="Z57" s="696"/>
      <c r="AA57" s="696"/>
    </row>
    <row r="58" spans="1:28" ht="15" customHeight="1" x14ac:dyDescent="0.25">
      <c r="A58" s="932" t="s">
        <v>689</v>
      </c>
      <c r="B58" s="933"/>
      <c r="C58" s="933"/>
      <c r="D58" s="933"/>
      <c r="E58" s="933"/>
      <c r="F58" s="933"/>
      <c r="G58" s="933"/>
      <c r="H58" s="933"/>
      <c r="I58" s="933"/>
      <c r="J58" s="933"/>
      <c r="K58" s="933"/>
      <c r="L58" s="933"/>
      <c r="M58" s="933"/>
      <c r="N58" s="933"/>
      <c r="O58" s="933"/>
      <c r="P58" s="933"/>
      <c r="Q58" s="933"/>
      <c r="R58" s="933"/>
      <c r="S58" s="933"/>
      <c r="T58" s="933"/>
      <c r="U58" s="933"/>
      <c r="V58" s="933"/>
      <c r="W58" s="933"/>
      <c r="X58" s="933"/>
      <c r="Y58" s="934"/>
      <c r="Z58" s="3"/>
      <c r="AA58" s="3"/>
    </row>
    <row r="59" spans="1:28" ht="24" x14ac:dyDescent="0.25">
      <c r="A59" s="894">
        <v>8032</v>
      </c>
      <c r="B59" s="346" t="s">
        <v>88</v>
      </c>
      <c r="C59" s="894" t="s">
        <v>682</v>
      </c>
      <c r="D59" s="329">
        <v>0.02</v>
      </c>
      <c r="E59" s="329">
        <v>0.01</v>
      </c>
      <c r="F59" s="347">
        <v>1.4</v>
      </c>
      <c r="G59" s="329">
        <v>1</v>
      </c>
      <c r="H59" s="329">
        <v>0.01</v>
      </c>
      <c r="I59" s="329" t="s">
        <v>55</v>
      </c>
      <c r="J59" s="329">
        <v>0.2</v>
      </c>
      <c r="K59" s="329">
        <v>1</v>
      </c>
      <c r="L59" s="329">
        <v>0.1</v>
      </c>
      <c r="M59" s="329">
        <v>0.5</v>
      </c>
      <c r="N59" s="329">
        <v>1088</v>
      </c>
      <c r="O59" s="329">
        <v>1212573</v>
      </c>
      <c r="P59" s="329" t="s">
        <v>55</v>
      </c>
      <c r="Q59" s="329" t="s">
        <v>55</v>
      </c>
      <c r="R59" s="329" t="s">
        <v>55</v>
      </c>
      <c r="S59" s="329" t="s">
        <v>55</v>
      </c>
      <c r="T59" s="329" t="s">
        <v>55</v>
      </c>
      <c r="U59" s="894" t="s">
        <v>93</v>
      </c>
      <c r="V59" s="894">
        <v>2908</v>
      </c>
      <c r="W59" s="329">
        <v>0</v>
      </c>
      <c r="X59" s="329">
        <f>ROUND((D59*E59*F59*G59*H59*J59*K59*L59*N59*1000000*M59/3600)*(1-W59),4)</f>
        <v>8.5000000000000006E-3</v>
      </c>
      <c r="Y59" s="329">
        <f>ROUND((D59*E59*F59*G59*H59*J59*K59*L59*M59*O59)*(1-W59),4)</f>
        <v>3.4000000000000002E-2</v>
      </c>
      <c r="Z59" s="3"/>
      <c r="AA59" s="3"/>
    </row>
    <row r="60" spans="1:28" ht="33.75" customHeight="1" x14ac:dyDescent="0.25">
      <c r="A60" s="895"/>
      <c r="B60" s="346" t="s">
        <v>552</v>
      </c>
      <c r="C60" s="927"/>
      <c r="D60" s="329">
        <v>0.02</v>
      </c>
      <c r="E60" s="329">
        <v>0.01</v>
      </c>
      <c r="F60" s="347">
        <v>1.4</v>
      </c>
      <c r="G60" s="329">
        <v>1</v>
      </c>
      <c r="H60" s="329">
        <v>0.01</v>
      </c>
      <c r="I60" s="329" t="s">
        <v>55</v>
      </c>
      <c r="J60" s="329">
        <v>0.2</v>
      </c>
      <c r="K60" s="329" t="s">
        <v>55</v>
      </c>
      <c r="L60" s="329" t="s">
        <v>55</v>
      </c>
      <c r="M60" s="329">
        <v>0.5</v>
      </c>
      <c r="N60" s="329">
        <v>1088</v>
      </c>
      <c r="O60" s="329">
        <v>1212573</v>
      </c>
      <c r="P60" s="329" t="s">
        <v>55</v>
      </c>
      <c r="Q60" s="329" t="s">
        <v>55</v>
      </c>
      <c r="R60" s="329" t="s">
        <v>55</v>
      </c>
      <c r="S60" s="329" t="s">
        <v>55</v>
      </c>
      <c r="T60" s="329" t="s">
        <v>55</v>
      </c>
      <c r="U60" s="895"/>
      <c r="V60" s="895"/>
      <c r="W60" s="329">
        <v>0.85</v>
      </c>
      <c r="X60" s="329">
        <f>ROUND((D60*E60*F60*G60*H60*J60*N60*1000000*M60/3600)*(1-W60),4)</f>
        <v>1.2699999999999999E-2</v>
      </c>
      <c r="Y60" s="329">
        <f>ROUND((D60*E60*F60*G60*H60*J60*M60*O60)*(1-W60),4)</f>
        <v>5.0900000000000001E-2</v>
      </c>
      <c r="Z60" s="9" t="s">
        <v>688</v>
      </c>
      <c r="AA60" s="9"/>
      <c r="AB60" s="9"/>
    </row>
    <row r="61" spans="1:28" ht="16.5" customHeight="1" x14ac:dyDescent="0.25">
      <c r="A61" s="895"/>
      <c r="B61" s="346" t="s">
        <v>87</v>
      </c>
      <c r="C61" s="927"/>
      <c r="D61" s="329" t="s">
        <v>55</v>
      </c>
      <c r="E61" s="329" t="s">
        <v>55</v>
      </c>
      <c r="F61" s="347">
        <v>1.4</v>
      </c>
      <c r="G61" s="329">
        <v>1</v>
      </c>
      <c r="H61" s="329">
        <v>0.01</v>
      </c>
      <c r="I61" s="329">
        <v>1.3</v>
      </c>
      <c r="J61" s="329">
        <v>0.2</v>
      </c>
      <c r="K61" s="329" t="s">
        <v>55</v>
      </c>
      <c r="L61" s="329" t="s">
        <v>55</v>
      </c>
      <c r="M61" s="329" t="s">
        <v>55</v>
      </c>
      <c r="N61" s="329" t="s">
        <v>55</v>
      </c>
      <c r="O61" s="329" t="s">
        <v>55</v>
      </c>
      <c r="P61" s="329">
        <v>2E-3</v>
      </c>
      <c r="Q61" s="329">
        <v>20000</v>
      </c>
      <c r="R61" s="329">
        <v>24</v>
      </c>
      <c r="S61" s="329">
        <v>0</v>
      </c>
      <c r="T61" s="329">
        <v>20</v>
      </c>
      <c r="U61" s="895"/>
      <c r="V61" s="895"/>
      <c r="W61" s="329">
        <v>0.85</v>
      </c>
      <c r="X61" s="329">
        <f>ROUND((F61*G61*H61*I61*J61*P61*Q61)*(1-W61),4)</f>
        <v>2.18E-2</v>
      </c>
      <c r="Y61" s="329">
        <f>ROUND((((X61*R61*(110-T61-S61)*3600)/1000000)),4)</f>
        <v>0.16950000000000001</v>
      </c>
      <c r="Z61" t="s">
        <v>549</v>
      </c>
      <c r="AB61"/>
    </row>
    <row r="62" spans="1:28" ht="24" customHeight="1" x14ac:dyDescent="0.25">
      <c r="A62" s="863"/>
      <c r="B62" s="346" t="s">
        <v>551</v>
      </c>
      <c r="C62" s="863"/>
      <c r="D62" s="329">
        <v>0.02</v>
      </c>
      <c r="E62" s="329">
        <v>0.01</v>
      </c>
      <c r="F62" s="347">
        <v>1.4</v>
      </c>
      <c r="G62" s="329">
        <v>1</v>
      </c>
      <c r="H62" s="329">
        <v>0.01</v>
      </c>
      <c r="I62" s="329" t="s">
        <v>55</v>
      </c>
      <c r="J62" s="329">
        <v>0.2</v>
      </c>
      <c r="K62" s="329" t="s">
        <v>55</v>
      </c>
      <c r="L62" s="329" t="s">
        <v>55</v>
      </c>
      <c r="M62" s="329">
        <v>0.5</v>
      </c>
      <c r="N62" s="329">
        <v>1088</v>
      </c>
      <c r="O62" s="329">
        <v>1212573</v>
      </c>
      <c r="P62" s="329" t="s">
        <v>55</v>
      </c>
      <c r="Q62" s="329" t="s">
        <v>55</v>
      </c>
      <c r="R62" s="329" t="s">
        <v>55</v>
      </c>
      <c r="S62" s="329" t="s">
        <v>55</v>
      </c>
      <c r="T62" s="329" t="s">
        <v>55</v>
      </c>
      <c r="U62" s="928"/>
      <c r="V62" s="928"/>
      <c r="W62" s="329">
        <v>0</v>
      </c>
      <c r="X62" s="329">
        <f>ROUND((D62*E62*F62*G62*H62*J62*N62*1000000*M62/3600)*(1-W62),4)</f>
        <v>8.4599999999999995E-2</v>
      </c>
      <c r="Y62" s="329">
        <f>ROUND((D62*E62*F62*G62*H62*J62*M62*O62)*(1-W62),4)</f>
        <v>0.33950000000000002</v>
      </c>
      <c r="Z62" s="3"/>
      <c r="AA62" s="3"/>
    </row>
    <row r="63" spans="1:28" ht="48" customHeight="1" x14ac:dyDescent="0.25">
      <c r="A63" s="886" t="s">
        <v>690</v>
      </c>
      <c r="B63" s="887"/>
      <c r="C63" s="887"/>
      <c r="D63" s="887"/>
      <c r="E63" s="887"/>
      <c r="F63" s="887"/>
      <c r="G63" s="887"/>
      <c r="H63" s="887"/>
      <c r="I63" s="887"/>
      <c r="J63" s="887"/>
      <c r="K63" s="887"/>
      <c r="L63" s="887"/>
      <c r="M63" s="887"/>
      <c r="N63" s="887"/>
      <c r="O63" s="887"/>
      <c r="P63" s="887"/>
      <c r="Q63" s="887"/>
      <c r="R63" s="887"/>
      <c r="S63" s="887"/>
      <c r="T63" s="887"/>
      <c r="U63" s="348" t="s">
        <v>93</v>
      </c>
      <c r="V63" s="348">
        <v>2908</v>
      </c>
      <c r="W63" s="348"/>
      <c r="X63" s="348">
        <f>X59+X60+X61+X62</f>
        <v>0.12759999999999999</v>
      </c>
      <c r="Y63" s="348">
        <f>SUM(Y59:Y62)</f>
        <v>0.59390000000000009</v>
      </c>
      <c r="Z63" s="709">
        <f>X63</f>
        <v>0.12759999999999999</v>
      </c>
      <c r="AA63" s="710">
        <f>Y63</f>
        <v>0.59390000000000009</v>
      </c>
      <c r="AB63" s="711">
        <v>2032</v>
      </c>
    </row>
    <row r="64" spans="1:28" x14ac:dyDescent="0.25">
      <c r="A64" s="929" t="s">
        <v>105</v>
      </c>
      <c r="B64" s="930"/>
      <c r="C64" s="930"/>
      <c r="D64" s="930"/>
      <c r="E64" s="930"/>
      <c r="F64" s="930"/>
      <c r="G64" s="930"/>
      <c r="H64" s="930"/>
      <c r="I64" s="930"/>
      <c r="J64" s="930"/>
      <c r="K64" s="930"/>
      <c r="L64" s="930"/>
      <c r="M64" s="930"/>
      <c r="N64" s="930"/>
      <c r="O64" s="930"/>
      <c r="P64" s="930"/>
      <c r="Q64" s="930"/>
      <c r="R64" s="930"/>
      <c r="S64" s="930"/>
      <c r="T64" s="930"/>
      <c r="U64" s="930"/>
      <c r="V64" s="930"/>
      <c r="W64" s="930"/>
      <c r="X64" s="930"/>
      <c r="Y64" s="931"/>
    </row>
    <row r="65" spans="1:28" ht="15.75" customHeight="1" x14ac:dyDescent="0.25">
      <c r="A65" s="932" t="s">
        <v>547</v>
      </c>
      <c r="B65" s="933"/>
      <c r="C65" s="933"/>
      <c r="D65" s="933"/>
      <c r="E65" s="933"/>
      <c r="F65" s="933"/>
      <c r="G65" s="933"/>
      <c r="H65" s="933"/>
      <c r="I65" s="933"/>
      <c r="J65" s="933"/>
      <c r="K65" s="933"/>
      <c r="L65" s="933"/>
      <c r="M65" s="933"/>
      <c r="N65" s="933"/>
      <c r="O65" s="933"/>
      <c r="P65" s="933"/>
      <c r="Q65" s="933"/>
      <c r="R65" s="933"/>
      <c r="S65" s="933"/>
      <c r="T65" s="933"/>
      <c r="U65" s="933"/>
      <c r="V65" s="933"/>
      <c r="W65" s="933"/>
      <c r="X65" s="933"/>
      <c r="Y65" s="934"/>
    </row>
    <row r="66" spans="1:28" ht="24" x14ac:dyDescent="0.25">
      <c r="A66" s="894">
        <v>8027</v>
      </c>
      <c r="B66" s="346" t="s">
        <v>88</v>
      </c>
      <c r="C66" s="894" t="s">
        <v>279</v>
      </c>
      <c r="D66" s="329">
        <v>0.02</v>
      </c>
      <c r="E66" s="329">
        <v>0.01</v>
      </c>
      <c r="F66" s="347">
        <v>1.4</v>
      </c>
      <c r="G66" s="329">
        <v>1</v>
      </c>
      <c r="H66" s="329">
        <v>0.01</v>
      </c>
      <c r="I66" s="329" t="s">
        <v>55</v>
      </c>
      <c r="J66" s="329">
        <v>0.4</v>
      </c>
      <c r="K66" s="329">
        <v>1</v>
      </c>
      <c r="L66" s="329">
        <v>0.1</v>
      </c>
      <c r="M66" s="329">
        <v>0.5</v>
      </c>
      <c r="N66" s="329">
        <v>168</v>
      </c>
      <c r="O66" s="329">
        <v>126204</v>
      </c>
      <c r="P66" s="329" t="s">
        <v>55</v>
      </c>
      <c r="Q66" s="329" t="s">
        <v>55</v>
      </c>
      <c r="R66" s="329" t="s">
        <v>55</v>
      </c>
      <c r="S66" s="329" t="s">
        <v>55</v>
      </c>
      <c r="T66" s="329" t="s">
        <v>55</v>
      </c>
      <c r="U66" s="894" t="s">
        <v>93</v>
      </c>
      <c r="V66" s="894">
        <v>2908</v>
      </c>
      <c r="W66" s="329">
        <v>0</v>
      </c>
      <c r="X66" s="329">
        <f>ROUND((D66*E66*F66*G66*H66*J66*K66*L66*N66*1000000*M66/3600)*(1-W66),4)</f>
        <v>2.5999999999999999E-3</v>
      </c>
      <c r="Y66" s="329">
        <f>ROUND((D66*E66*F66*G66*H66*J66*K66*L66*M66*O66)*(1-W66),4)</f>
        <v>7.1000000000000004E-3</v>
      </c>
    </row>
    <row r="67" spans="1:28" ht="36" x14ac:dyDescent="0.25">
      <c r="A67" s="895"/>
      <c r="B67" s="346" t="s">
        <v>552</v>
      </c>
      <c r="C67" s="927"/>
      <c r="D67" s="329">
        <v>0.02</v>
      </c>
      <c r="E67" s="329">
        <v>0.01</v>
      </c>
      <c r="F67" s="347">
        <v>1.4</v>
      </c>
      <c r="G67" s="329">
        <v>1</v>
      </c>
      <c r="H67" s="329">
        <v>0.01</v>
      </c>
      <c r="I67" s="329" t="s">
        <v>55</v>
      </c>
      <c r="J67" s="329">
        <v>0.4</v>
      </c>
      <c r="K67" s="329" t="s">
        <v>55</v>
      </c>
      <c r="L67" s="329" t="s">
        <v>55</v>
      </c>
      <c r="M67" s="329">
        <v>0.5</v>
      </c>
      <c r="N67" s="329">
        <v>168</v>
      </c>
      <c r="O67" s="329">
        <v>126204</v>
      </c>
      <c r="P67" s="329" t="s">
        <v>55</v>
      </c>
      <c r="Q67" s="329" t="s">
        <v>55</v>
      </c>
      <c r="R67" s="329" t="s">
        <v>55</v>
      </c>
      <c r="S67" s="329" t="s">
        <v>55</v>
      </c>
      <c r="T67" s="329" t="s">
        <v>55</v>
      </c>
      <c r="U67" s="895"/>
      <c r="V67" s="895"/>
      <c r="W67" s="329">
        <v>0.85</v>
      </c>
      <c r="X67" s="329">
        <f>ROUND((D67*E67*F67*G67*H67*J67*N67*1000000*M67/3600)*(1-W67),4)</f>
        <v>3.8999999999999998E-3</v>
      </c>
      <c r="Y67" s="329">
        <f>ROUND((D67*E67*F67*G67*H67*J67*M67*O67)*(1-W67),4)</f>
        <v>1.06E-2</v>
      </c>
    </row>
    <row r="68" spans="1:28" x14ac:dyDescent="0.25">
      <c r="A68" s="895"/>
      <c r="B68" s="346" t="s">
        <v>87</v>
      </c>
      <c r="C68" s="927"/>
      <c r="D68" s="329" t="s">
        <v>55</v>
      </c>
      <c r="E68" s="329" t="s">
        <v>55</v>
      </c>
      <c r="F68" s="347">
        <v>1.4</v>
      </c>
      <c r="G68" s="329">
        <v>1</v>
      </c>
      <c r="H68" s="329">
        <v>0.01</v>
      </c>
      <c r="I68" s="329">
        <v>1.3</v>
      </c>
      <c r="J68" s="329">
        <v>0.4</v>
      </c>
      <c r="K68" s="329" t="s">
        <v>55</v>
      </c>
      <c r="L68" s="329" t="s">
        <v>55</v>
      </c>
      <c r="M68" s="329" t="s">
        <v>55</v>
      </c>
      <c r="N68" s="329" t="s">
        <v>55</v>
      </c>
      <c r="O68" s="329" t="s">
        <v>55</v>
      </c>
      <c r="P68" s="329">
        <v>2E-3</v>
      </c>
      <c r="Q68" s="329">
        <v>5000</v>
      </c>
      <c r="R68" s="329">
        <v>24</v>
      </c>
      <c r="S68" s="329">
        <v>0</v>
      </c>
      <c r="T68" s="329">
        <v>25</v>
      </c>
      <c r="U68" s="895"/>
      <c r="V68" s="895"/>
      <c r="W68" s="329">
        <v>0.85</v>
      </c>
      <c r="X68" s="329">
        <f>ROUND((F68*G68*H68*I68*J68*P68*Q68)*(1-W68),4)</f>
        <v>1.09E-2</v>
      </c>
      <c r="Y68" s="329">
        <f>ROUND((((X68*R68*(110-T68-S68)*3600)/1000000)),4)</f>
        <v>0.08</v>
      </c>
    </row>
    <row r="69" spans="1:28" ht="24" x14ac:dyDescent="0.25">
      <c r="A69" s="863"/>
      <c r="B69" s="346" t="s">
        <v>551</v>
      </c>
      <c r="C69" s="863"/>
      <c r="D69" s="329">
        <v>0.02</v>
      </c>
      <c r="E69" s="329">
        <v>0.01</v>
      </c>
      <c r="F69" s="347">
        <v>1.4</v>
      </c>
      <c r="G69" s="329">
        <v>1</v>
      </c>
      <c r="H69" s="329">
        <v>0.01</v>
      </c>
      <c r="I69" s="329" t="s">
        <v>55</v>
      </c>
      <c r="J69" s="329">
        <v>0.4</v>
      </c>
      <c r="K69" s="329" t="s">
        <v>55</v>
      </c>
      <c r="L69" s="329" t="s">
        <v>55</v>
      </c>
      <c r="M69" s="329">
        <v>0.5</v>
      </c>
      <c r="N69" s="329">
        <v>168</v>
      </c>
      <c r="O69" s="329">
        <v>126204</v>
      </c>
      <c r="P69" s="329" t="s">
        <v>55</v>
      </c>
      <c r="Q69" s="329" t="s">
        <v>55</v>
      </c>
      <c r="R69" s="329" t="s">
        <v>55</v>
      </c>
      <c r="S69" s="329" t="s">
        <v>55</v>
      </c>
      <c r="T69" s="329" t="s">
        <v>55</v>
      </c>
      <c r="U69" s="928"/>
      <c r="V69" s="928"/>
      <c r="W69" s="329">
        <v>0</v>
      </c>
      <c r="X69" s="329">
        <f>ROUND((D69*E69*F69*G69*H69*J69*N69*1000000*M69/3600)*(1-W69),4)</f>
        <v>2.6100000000000002E-2</v>
      </c>
      <c r="Y69" s="329">
        <f>ROUND((D69*E69*F69*G69*H69*J69*M69*O69)*(1-W69),4)</f>
        <v>7.0699999999999999E-2</v>
      </c>
    </row>
    <row r="70" spans="1:28" ht="45" customHeight="1" x14ac:dyDescent="0.25">
      <c r="A70" s="886" t="s">
        <v>548</v>
      </c>
      <c r="B70" s="887"/>
      <c r="C70" s="887"/>
      <c r="D70" s="887"/>
      <c r="E70" s="887"/>
      <c r="F70" s="887"/>
      <c r="G70" s="887"/>
      <c r="H70" s="887"/>
      <c r="I70" s="887"/>
      <c r="J70" s="887"/>
      <c r="K70" s="887"/>
      <c r="L70" s="887"/>
      <c r="M70" s="887"/>
      <c r="N70" s="887"/>
      <c r="O70" s="887"/>
      <c r="P70" s="887"/>
      <c r="Q70" s="887"/>
      <c r="R70" s="887"/>
      <c r="S70" s="887"/>
      <c r="T70" s="887"/>
      <c r="U70" s="348" t="s">
        <v>93</v>
      </c>
      <c r="V70" s="348">
        <v>2908</v>
      </c>
      <c r="W70" s="348"/>
      <c r="X70" s="348">
        <f>X66+X67+X68+X69</f>
        <v>4.3499999999999997E-2</v>
      </c>
      <c r="Y70" s="348">
        <f>SUM(Y66:Y69)</f>
        <v>0.16839999999999999</v>
      </c>
      <c r="Z70" s="712"/>
      <c r="AA70" s="234"/>
    </row>
    <row r="71" spans="1:28" ht="15" customHeight="1" x14ac:dyDescent="0.25">
      <c r="A71" s="932" t="s">
        <v>689</v>
      </c>
      <c r="B71" s="933"/>
      <c r="C71" s="933"/>
      <c r="D71" s="933"/>
      <c r="E71" s="933"/>
      <c r="F71" s="933"/>
      <c r="G71" s="933"/>
      <c r="H71" s="933"/>
      <c r="I71" s="933"/>
      <c r="J71" s="933"/>
      <c r="K71" s="933"/>
      <c r="L71" s="933"/>
      <c r="M71" s="933"/>
      <c r="N71" s="933"/>
      <c r="O71" s="933"/>
      <c r="P71" s="933"/>
      <c r="Q71" s="933"/>
      <c r="R71" s="933"/>
      <c r="S71" s="933"/>
      <c r="T71" s="933"/>
      <c r="U71" s="933"/>
      <c r="V71" s="933"/>
      <c r="W71" s="933"/>
      <c r="X71" s="933"/>
      <c r="Y71" s="934"/>
      <c r="Z71" s="3"/>
      <c r="AA71" s="3"/>
    </row>
    <row r="72" spans="1:28" ht="27" customHeight="1" x14ac:dyDescent="0.25">
      <c r="A72" s="894">
        <v>8032</v>
      </c>
      <c r="B72" s="346" t="s">
        <v>88</v>
      </c>
      <c r="C72" s="894" t="s">
        <v>682</v>
      </c>
      <c r="D72" s="329">
        <v>0.02</v>
      </c>
      <c r="E72" s="329">
        <v>0.01</v>
      </c>
      <c r="F72" s="347">
        <v>1.4</v>
      </c>
      <c r="G72" s="329">
        <v>1</v>
      </c>
      <c r="H72" s="329">
        <v>0.01</v>
      </c>
      <c r="I72" s="329" t="s">
        <v>55</v>
      </c>
      <c r="J72" s="329">
        <v>0.2</v>
      </c>
      <c r="K72" s="329">
        <v>1</v>
      </c>
      <c r="L72" s="329">
        <v>0.1</v>
      </c>
      <c r="M72" s="329">
        <v>0.5</v>
      </c>
      <c r="N72" s="329">
        <v>952</v>
      </c>
      <c r="O72" s="329">
        <v>905258</v>
      </c>
      <c r="P72" s="329" t="s">
        <v>55</v>
      </c>
      <c r="Q72" s="329" t="s">
        <v>55</v>
      </c>
      <c r="R72" s="329" t="s">
        <v>55</v>
      </c>
      <c r="S72" s="329" t="s">
        <v>55</v>
      </c>
      <c r="T72" s="329" t="s">
        <v>55</v>
      </c>
      <c r="U72" s="894" t="s">
        <v>93</v>
      </c>
      <c r="V72" s="894">
        <v>2908</v>
      </c>
      <c r="W72" s="329">
        <v>0</v>
      </c>
      <c r="X72" s="329">
        <f>ROUND((D72*E72*F72*G72*H72*J72*K72*L72*N72*1000000*M72/3600)*(1-W72),4)</f>
        <v>7.4000000000000003E-3</v>
      </c>
      <c r="Y72" s="329">
        <f>ROUND((D72*E72*F72*G72*H72*J72*K72*L72*M72*O72)*(1-W72),4)</f>
        <v>2.53E-2</v>
      </c>
      <c r="Z72" s="3"/>
      <c r="AA72" s="3"/>
    </row>
    <row r="73" spans="1:28" ht="35.25" customHeight="1" x14ac:dyDescent="0.25">
      <c r="A73" s="895"/>
      <c r="B73" s="346" t="s">
        <v>552</v>
      </c>
      <c r="C73" s="927"/>
      <c r="D73" s="329">
        <v>0.02</v>
      </c>
      <c r="E73" s="329">
        <v>0.01</v>
      </c>
      <c r="F73" s="347">
        <v>1.4</v>
      </c>
      <c r="G73" s="329">
        <v>1</v>
      </c>
      <c r="H73" s="329">
        <v>0.01</v>
      </c>
      <c r="I73" s="329" t="s">
        <v>55</v>
      </c>
      <c r="J73" s="329">
        <v>0.2</v>
      </c>
      <c r="K73" s="329" t="s">
        <v>55</v>
      </c>
      <c r="L73" s="329" t="s">
        <v>55</v>
      </c>
      <c r="M73" s="329">
        <v>0.5</v>
      </c>
      <c r="N73" s="329">
        <v>952</v>
      </c>
      <c r="O73" s="329">
        <v>905258</v>
      </c>
      <c r="P73" s="329" t="s">
        <v>55</v>
      </c>
      <c r="Q73" s="329" t="s">
        <v>55</v>
      </c>
      <c r="R73" s="329" t="s">
        <v>55</v>
      </c>
      <c r="S73" s="329" t="s">
        <v>55</v>
      </c>
      <c r="T73" s="329" t="s">
        <v>55</v>
      </c>
      <c r="U73" s="895"/>
      <c r="V73" s="895"/>
      <c r="W73" s="329">
        <v>0.85</v>
      </c>
      <c r="X73" s="329">
        <f>ROUND((D73*E73*F73*G73*H73*J73*N73*1000000*M73/3600)*(1-W73),4)</f>
        <v>1.11E-2</v>
      </c>
      <c r="Y73" s="329">
        <f>ROUND((D73*E73*F73*G73*H73*J73*M73*O73)*(1-W73),4)</f>
        <v>3.7999999999999999E-2</v>
      </c>
      <c r="Z73" s="9" t="s">
        <v>688</v>
      </c>
      <c r="AA73" s="9"/>
      <c r="AB73" s="9"/>
    </row>
    <row r="74" spans="1:28" x14ac:dyDescent="0.25">
      <c r="A74" s="895"/>
      <c r="B74" s="346" t="s">
        <v>87</v>
      </c>
      <c r="C74" s="927"/>
      <c r="D74" s="329" t="s">
        <v>55</v>
      </c>
      <c r="E74" s="329" t="s">
        <v>55</v>
      </c>
      <c r="F74" s="347">
        <v>1.4</v>
      </c>
      <c r="G74" s="329">
        <v>1</v>
      </c>
      <c r="H74" s="329">
        <v>0.01</v>
      </c>
      <c r="I74" s="329">
        <v>1.3</v>
      </c>
      <c r="J74" s="329">
        <v>0.2</v>
      </c>
      <c r="K74" s="329" t="s">
        <v>55</v>
      </c>
      <c r="L74" s="329" t="s">
        <v>55</v>
      </c>
      <c r="M74" s="329" t="s">
        <v>55</v>
      </c>
      <c r="N74" s="329" t="s">
        <v>55</v>
      </c>
      <c r="O74" s="329" t="s">
        <v>55</v>
      </c>
      <c r="P74" s="329">
        <v>2E-3</v>
      </c>
      <c r="Q74" s="329">
        <v>20000</v>
      </c>
      <c r="R74" s="329">
        <v>24</v>
      </c>
      <c r="S74" s="329">
        <v>0</v>
      </c>
      <c r="T74" s="329">
        <v>20</v>
      </c>
      <c r="U74" s="895"/>
      <c r="V74" s="895"/>
      <c r="W74" s="329">
        <v>0.85</v>
      </c>
      <c r="X74" s="329">
        <f>ROUND((F74*G74*H74*I74*J74*P74*Q74)*(1-W74),4)</f>
        <v>2.18E-2</v>
      </c>
      <c r="Y74" s="329">
        <f>ROUND((((X74*R74*(110-T74-S74)*3600)/1000000)),4)</f>
        <v>0.16950000000000001</v>
      </c>
      <c r="Z74" t="s">
        <v>549</v>
      </c>
      <c r="AB74"/>
    </row>
    <row r="75" spans="1:28" ht="24" customHeight="1" x14ac:dyDescent="0.25">
      <c r="A75" s="863"/>
      <c r="B75" s="346" t="s">
        <v>551</v>
      </c>
      <c r="C75" s="863"/>
      <c r="D75" s="329">
        <v>0.02</v>
      </c>
      <c r="E75" s="329">
        <v>0.01</v>
      </c>
      <c r="F75" s="347">
        <v>1.4</v>
      </c>
      <c r="G75" s="329">
        <v>1</v>
      </c>
      <c r="H75" s="329">
        <v>0.01</v>
      </c>
      <c r="I75" s="329" t="s">
        <v>55</v>
      </c>
      <c r="J75" s="329">
        <v>0.2</v>
      </c>
      <c r="K75" s="329" t="s">
        <v>55</v>
      </c>
      <c r="L75" s="329" t="s">
        <v>55</v>
      </c>
      <c r="M75" s="329">
        <v>0.5</v>
      </c>
      <c r="N75" s="329">
        <v>952</v>
      </c>
      <c r="O75" s="329">
        <v>905258</v>
      </c>
      <c r="P75" s="329" t="s">
        <v>55</v>
      </c>
      <c r="Q75" s="329" t="s">
        <v>55</v>
      </c>
      <c r="R75" s="329" t="s">
        <v>55</v>
      </c>
      <c r="S75" s="329" t="s">
        <v>55</v>
      </c>
      <c r="T75" s="329" t="s">
        <v>55</v>
      </c>
      <c r="U75" s="928"/>
      <c r="V75" s="928"/>
      <c r="W75" s="329">
        <v>0</v>
      </c>
      <c r="X75" s="329">
        <f>ROUND((D75*E75*F75*G75*H75*J75*N75*1000000*M75/3600)*(1-W75),4)</f>
        <v>7.3999999999999996E-2</v>
      </c>
      <c r="Y75" s="329">
        <f>ROUND((D75*E75*F75*G75*H75*J75*M75*O75)*(1-W75),4)</f>
        <v>0.2535</v>
      </c>
      <c r="Z75" s="3"/>
      <c r="AA75" s="3"/>
    </row>
    <row r="76" spans="1:28" ht="45" customHeight="1" x14ac:dyDescent="0.25">
      <c r="A76" s="886" t="s">
        <v>690</v>
      </c>
      <c r="B76" s="887"/>
      <c r="C76" s="887"/>
      <c r="D76" s="887"/>
      <c r="E76" s="887"/>
      <c r="F76" s="887"/>
      <c r="G76" s="887"/>
      <c r="H76" s="887"/>
      <c r="I76" s="887"/>
      <c r="J76" s="887"/>
      <c r="K76" s="887"/>
      <c r="L76" s="887"/>
      <c r="M76" s="887"/>
      <c r="N76" s="887"/>
      <c r="O76" s="887"/>
      <c r="P76" s="887"/>
      <c r="Q76" s="887"/>
      <c r="R76" s="887"/>
      <c r="S76" s="887"/>
      <c r="T76" s="887"/>
      <c r="U76" s="348" t="s">
        <v>93</v>
      </c>
      <c r="V76" s="348">
        <v>2908</v>
      </c>
      <c r="W76" s="348"/>
      <c r="X76" s="348">
        <f>X72+X73+X74+X75</f>
        <v>0.1143</v>
      </c>
      <c r="Y76" s="348">
        <f>SUM(Y72:Y75)</f>
        <v>0.48630000000000001</v>
      </c>
      <c r="Z76" s="709">
        <f>X70+X76</f>
        <v>0.1578</v>
      </c>
      <c r="AA76" s="710">
        <f>Y70+Y76</f>
        <v>0.65470000000000006</v>
      </c>
      <c r="AB76" s="711">
        <v>2033</v>
      </c>
    </row>
    <row r="77" spans="1:28" ht="16.5" customHeight="1" x14ac:dyDescent="0.25">
      <c r="A77" s="929" t="s">
        <v>109</v>
      </c>
      <c r="B77" s="930"/>
      <c r="C77" s="930"/>
      <c r="D77" s="930"/>
      <c r="E77" s="930"/>
      <c r="F77" s="930"/>
      <c r="G77" s="930"/>
      <c r="H77" s="930"/>
      <c r="I77" s="930"/>
      <c r="J77" s="930"/>
      <c r="K77" s="930"/>
      <c r="L77" s="930"/>
      <c r="M77" s="930"/>
      <c r="N77" s="930"/>
      <c r="O77" s="930"/>
      <c r="P77" s="930"/>
      <c r="Q77" s="930"/>
      <c r="R77" s="930"/>
      <c r="S77" s="930"/>
      <c r="T77" s="930"/>
      <c r="U77" s="930"/>
      <c r="V77" s="930"/>
      <c r="W77" s="930"/>
      <c r="X77" s="930"/>
      <c r="Y77" s="931"/>
      <c r="Z77" s="696"/>
      <c r="AA77" s="696"/>
    </row>
    <row r="78" spans="1:28" ht="15.75" customHeight="1" x14ac:dyDescent="0.25">
      <c r="A78" s="932" t="s">
        <v>689</v>
      </c>
      <c r="B78" s="933"/>
      <c r="C78" s="933"/>
      <c r="D78" s="933"/>
      <c r="E78" s="933"/>
      <c r="F78" s="933"/>
      <c r="G78" s="933"/>
      <c r="H78" s="933"/>
      <c r="I78" s="933"/>
      <c r="J78" s="933"/>
      <c r="K78" s="933"/>
      <c r="L78" s="933"/>
      <c r="M78" s="933"/>
      <c r="N78" s="933"/>
      <c r="O78" s="933"/>
      <c r="P78" s="933"/>
      <c r="Q78" s="933"/>
      <c r="R78" s="933"/>
      <c r="S78" s="933"/>
      <c r="T78" s="933"/>
      <c r="U78" s="933"/>
      <c r="V78" s="933"/>
      <c r="W78" s="933"/>
      <c r="X78" s="933"/>
      <c r="Y78" s="934"/>
      <c r="Z78" s="3"/>
      <c r="AA78" s="3"/>
    </row>
    <row r="79" spans="1:28" ht="27.75" customHeight="1" x14ac:dyDescent="0.25">
      <c r="A79" s="894">
        <v>8032</v>
      </c>
      <c r="B79" s="346" t="s">
        <v>88</v>
      </c>
      <c r="C79" s="894" t="s">
        <v>682</v>
      </c>
      <c r="D79" s="329">
        <v>0.02</v>
      </c>
      <c r="E79" s="329">
        <v>0.01</v>
      </c>
      <c r="F79" s="347">
        <v>1.4</v>
      </c>
      <c r="G79" s="329">
        <v>1</v>
      </c>
      <c r="H79" s="329">
        <v>0.01</v>
      </c>
      <c r="I79" s="329" t="s">
        <v>55</v>
      </c>
      <c r="J79" s="329">
        <v>0.2</v>
      </c>
      <c r="K79" s="329">
        <v>1</v>
      </c>
      <c r="L79" s="329">
        <v>0.1</v>
      </c>
      <c r="M79" s="329">
        <v>0.5</v>
      </c>
      <c r="N79" s="329">
        <v>1462</v>
      </c>
      <c r="O79" s="329">
        <v>1186122</v>
      </c>
      <c r="P79" s="329" t="s">
        <v>55</v>
      </c>
      <c r="Q79" s="329" t="s">
        <v>55</v>
      </c>
      <c r="R79" s="329" t="s">
        <v>55</v>
      </c>
      <c r="S79" s="329" t="s">
        <v>55</v>
      </c>
      <c r="T79" s="329" t="s">
        <v>55</v>
      </c>
      <c r="U79" s="894" t="s">
        <v>93</v>
      </c>
      <c r="V79" s="894">
        <v>2908</v>
      </c>
      <c r="W79" s="329">
        <v>0</v>
      </c>
      <c r="X79" s="329">
        <f>ROUND((D79*E79*F79*G79*H79*J79*K79*L79*N79*1000000*M79/3600)*(1-W79),4)</f>
        <v>1.14E-2</v>
      </c>
      <c r="Y79" s="329">
        <f>ROUND((D79*E79*F79*G79*H79*J79*K79*L79*M79*O79)*(1-W79),4)</f>
        <v>3.32E-2</v>
      </c>
      <c r="Z79" s="3"/>
      <c r="AA79" s="3"/>
    </row>
    <row r="80" spans="1:28" ht="38.25" customHeight="1" x14ac:dyDescent="0.25">
      <c r="A80" s="895"/>
      <c r="B80" s="346" t="s">
        <v>552</v>
      </c>
      <c r="C80" s="927"/>
      <c r="D80" s="329">
        <v>0.02</v>
      </c>
      <c r="E80" s="329">
        <v>0.01</v>
      </c>
      <c r="F80" s="347">
        <v>1.4</v>
      </c>
      <c r="G80" s="329">
        <v>1</v>
      </c>
      <c r="H80" s="329">
        <v>0.01</v>
      </c>
      <c r="I80" s="329" t="s">
        <v>55</v>
      </c>
      <c r="J80" s="329">
        <v>0.2</v>
      </c>
      <c r="K80" s="329" t="s">
        <v>55</v>
      </c>
      <c r="L80" s="329" t="s">
        <v>55</v>
      </c>
      <c r="M80" s="329">
        <v>0.5</v>
      </c>
      <c r="N80" s="329">
        <v>1462</v>
      </c>
      <c r="O80" s="329">
        <v>1186122</v>
      </c>
      <c r="P80" s="329" t="s">
        <v>55</v>
      </c>
      <c r="Q80" s="329" t="s">
        <v>55</v>
      </c>
      <c r="R80" s="329" t="s">
        <v>55</v>
      </c>
      <c r="S80" s="329" t="s">
        <v>55</v>
      </c>
      <c r="T80" s="329" t="s">
        <v>55</v>
      </c>
      <c r="U80" s="895"/>
      <c r="V80" s="895"/>
      <c r="W80" s="329">
        <v>0.85</v>
      </c>
      <c r="X80" s="329">
        <f>ROUND((D80*E80*F80*G80*H80*J80*N80*1000000*M80/3600)*(1-W80),4)</f>
        <v>1.7100000000000001E-2</v>
      </c>
      <c r="Y80" s="329">
        <f>ROUND((D80*E80*F80*G80*H80*J80*M80*O80)*(1-W80),4)</f>
        <v>4.9799999999999997E-2</v>
      </c>
      <c r="Z80" s="9" t="s">
        <v>688</v>
      </c>
      <c r="AA80" s="9"/>
      <c r="AB80" s="9"/>
    </row>
    <row r="81" spans="1:28" ht="15.75" customHeight="1" x14ac:dyDescent="0.25">
      <c r="A81" s="895"/>
      <c r="B81" s="346" t="s">
        <v>87</v>
      </c>
      <c r="C81" s="927"/>
      <c r="D81" s="329" t="s">
        <v>55</v>
      </c>
      <c r="E81" s="329" t="s">
        <v>55</v>
      </c>
      <c r="F81" s="347">
        <v>1.4</v>
      </c>
      <c r="G81" s="329">
        <v>1</v>
      </c>
      <c r="H81" s="329">
        <v>0.01</v>
      </c>
      <c r="I81" s="329">
        <v>1.3</v>
      </c>
      <c r="J81" s="329">
        <v>0.2</v>
      </c>
      <c r="K81" s="329" t="s">
        <v>55</v>
      </c>
      <c r="L81" s="329" t="s">
        <v>55</v>
      </c>
      <c r="M81" s="329" t="s">
        <v>55</v>
      </c>
      <c r="N81" s="329" t="s">
        <v>55</v>
      </c>
      <c r="O81" s="329" t="s">
        <v>55</v>
      </c>
      <c r="P81" s="329">
        <v>2E-3</v>
      </c>
      <c r="Q81" s="329">
        <v>20000</v>
      </c>
      <c r="R81" s="329">
        <v>24</v>
      </c>
      <c r="S81" s="329">
        <v>0</v>
      </c>
      <c r="T81" s="329">
        <v>20</v>
      </c>
      <c r="U81" s="895"/>
      <c r="V81" s="895"/>
      <c r="W81" s="329">
        <v>0.85</v>
      </c>
      <c r="X81" s="329">
        <f>ROUND((F81*G81*H81*I81*J81*P81*Q81)*(1-W81),4)</f>
        <v>2.18E-2</v>
      </c>
      <c r="Y81" s="329">
        <f>ROUND((((X81*R81*(110-T81-S81)*3600)/1000000)),4)</f>
        <v>0.16950000000000001</v>
      </c>
      <c r="Z81" t="s">
        <v>549</v>
      </c>
      <c r="AB81"/>
    </row>
    <row r="82" spans="1:28" ht="24" customHeight="1" x14ac:dyDescent="0.25">
      <c r="A82" s="863"/>
      <c r="B82" s="346" t="s">
        <v>551</v>
      </c>
      <c r="C82" s="863"/>
      <c r="D82" s="329">
        <v>0.02</v>
      </c>
      <c r="E82" s="329">
        <v>0.01</v>
      </c>
      <c r="F82" s="347">
        <v>1.4</v>
      </c>
      <c r="G82" s="329">
        <v>1</v>
      </c>
      <c r="H82" s="329">
        <v>0.01</v>
      </c>
      <c r="I82" s="329" t="s">
        <v>55</v>
      </c>
      <c r="J82" s="329">
        <v>0.2</v>
      </c>
      <c r="K82" s="329" t="s">
        <v>55</v>
      </c>
      <c r="L82" s="329" t="s">
        <v>55</v>
      </c>
      <c r="M82" s="329">
        <v>0.5</v>
      </c>
      <c r="N82" s="329">
        <v>1462</v>
      </c>
      <c r="O82" s="329">
        <v>1186122</v>
      </c>
      <c r="P82" s="329" t="s">
        <v>55</v>
      </c>
      <c r="Q82" s="329" t="s">
        <v>55</v>
      </c>
      <c r="R82" s="329" t="s">
        <v>55</v>
      </c>
      <c r="S82" s="329" t="s">
        <v>55</v>
      </c>
      <c r="T82" s="329" t="s">
        <v>55</v>
      </c>
      <c r="U82" s="928"/>
      <c r="V82" s="928"/>
      <c r="W82" s="329">
        <v>0</v>
      </c>
      <c r="X82" s="329">
        <f>ROUND((D82*E82*F82*G82*H82*J82*N82*1000000*M82/3600)*(1-W82),4)</f>
        <v>0.1137</v>
      </c>
      <c r="Y82" s="329">
        <f>ROUND((D82*E82*F82*G82*H82*J82*M82*O82)*(1-W82),4)</f>
        <v>0.33210000000000001</v>
      </c>
      <c r="Z82" s="3"/>
      <c r="AA82" s="3"/>
    </row>
    <row r="83" spans="1:28" ht="45" customHeight="1" x14ac:dyDescent="0.25">
      <c r="A83" s="886" t="s">
        <v>690</v>
      </c>
      <c r="B83" s="887"/>
      <c r="C83" s="887"/>
      <c r="D83" s="887"/>
      <c r="E83" s="887"/>
      <c r="F83" s="887"/>
      <c r="G83" s="887"/>
      <c r="H83" s="887"/>
      <c r="I83" s="887"/>
      <c r="J83" s="887"/>
      <c r="K83" s="887"/>
      <c r="L83" s="887"/>
      <c r="M83" s="887"/>
      <c r="N83" s="887"/>
      <c r="O83" s="887"/>
      <c r="P83" s="887"/>
      <c r="Q83" s="887"/>
      <c r="R83" s="887"/>
      <c r="S83" s="887"/>
      <c r="T83" s="887"/>
      <c r="U83" s="348" t="s">
        <v>93</v>
      </c>
      <c r="V83" s="348">
        <v>2908</v>
      </c>
      <c r="W83" s="348"/>
      <c r="X83" s="348">
        <f>X79+X80+X81+X82</f>
        <v>0.16399999999999998</v>
      </c>
      <c r="Y83" s="348">
        <f>SUM(Y79:Y82)</f>
        <v>0.58460000000000001</v>
      </c>
      <c r="Z83" s="709">
        <f>X83</f>
        <v>0.16399999999999998</v>
      </c>
      <c r="AA83" s="710">
        <f>Y83</f>
        <v>0.58460000000000001</v>
      </c>
      <c r="AB83" s="711">
        <v>2037</v>
      </c>
    </row>
    <row r="84" spans="1:28" ht="15.75" customHeight="1" x14ac:dyDescent="0.25">
      <c r="A84" s="929" t="s">
        <v>111</v>
      </c>
      <c r="B84" s="930"/>
      <c r="C84" s="930"/>
      <c r="D84" s="930"/>
      <c r="E84" s="930"/>
      <c r="F84" s="930"/>
      <c r="G84" s="930"/>
      <c r="H84" s="930"/>
      <c r="I84" s="930"/>
      <c r="J84" s="930"/>
      <c r="K84" s="930"/>
      <c r="L84" s="930"/>
      <c r="M84" s="930"/>
      <c r="N84" s="930"/>
      <c r="O84" s="930"/>
      <c r="P84" s="930"/>
      <c r="Q84" s="930"/>
      <c r="R84" s="930"/>
      <c r="S84" s="930"/>
      <c r="T84" s="930"/>
      <c r="U84" s="930"/>
      <c r="V84" s="930"/>
      <c r="W84" s="930"/>
      <c r="X84" s="930"/>
      <c r="Y84" s="931"/>
    </row>
    <row r="85" spans="1:28" ht="15" customHeight="1" x14ac:dyDescent="0.25">
      <c r="A85" s="932" t="s">
        <v>547</v>
      </c>
      <c r="B85" s="933"/>
      <c r="C85" s="933"/>
      <c r="D85" s="933"/>
      <c r="E85" s="933"/>
      <c r="F85" s="933"/>
      <c r="G85" s="933"/>
      <c r="H85" s="933"/>
      <c r="I85" s="933"/>
      <c r="J85" s="933"/>
      <c r="K85" s="933"/>
      <c r="L85" s="933"/>
      <c r="M85" s="933"/>
      <c r="N85" s="933"/>
      <c r="O85" s="933"/>
      <c r="P85" s="933"/>
      <c r="Q85" s="933"/>
      <c r="R85" s="933"/>
      <c r="S85" s="933"/>
      <c r="T85" s="933"/>
      <c r="U85" s="933"/>
      <c r="V85" s="933"/>
      <c r="W85" s="933"/>
      <c r="X85" s="933"/>
      <c r="Y85" s="934"/>
    </row>
    <row r="86" spans="1:28" ht="24" x14ac:dyDescent="0.25">
      <c r="A86" s="894">
        <v>8027</v>
      </c>
      <c r="B86" s="346" t="s">
        <v>88</v>
      </c>
      <c r="C86" s="894" t="s">
        <v>279</v>
      </c>
      <c r="D86" s="329">
        <v>0.02</v>
      </c>
      <c r="E86" s="329">
        <v>0.01</v>
      </c>
      <c r="F86" s="347">
        <v>1.4</v>
      </c>
      <c r="G86" s="329">
        <v>1</v>
      </c>
      <c r="H86" s="329">
        <v>0.01</v>
      </c>
      <c r="I86" s="329" t="s">
        <v>55</v>
      </c>
      <c r="J86" s="329">
        <v>0.4</v>
      </c>
      <c r="K86" s="329">
        <v>1</v>
      </c>
      <c r="L86" s="329">
        <v>0.1</v>
      </c>
      <c r="M86" s="329">
        <v>0.5</v>
      </c>
      <c r="N86" s="329">
        <v>224</v>
      </c>
      <c r="O86" s="329">
        <v>154529</v>
      </c>
      <c r="P86" s="329" t="s">
        <v>55</v>
      </c>
      <c r="Q86" s="329" t="s">
        <v>55</v>
      </c>
      <c r="R86" s="329" t="s">
        <v>55</v>
      </c>
      <c r="S86" s="329" t="s">
        <v>55</v>
      </c>
      <c r="T86" s="329" t="s">
        <v>55</v>
      </c>
      <c r="U86" s="894" t="s">
        <v>93</v>
      </c>
      <c r="V86" s="894">
        <v>2908</v>
      </c>
      <c r="W86" s="329">
        <v>0</v>
      </c>
      <c r="X86" s="329">
        <f>ROUND((D86*E86*F86*G86*H86*J86*K86*L86*N86*1000000*M86/3600)*(1-W86),4)</f>
        <v>3.5000000000000001E-3</v>
      </c>
      <c r="Y86" s="329">
        <f>ROUND((D86*E86*F86*G86*H86*J86*K86*L86*M86*O86)*(1-W86),4)</f>
        <v>8.6999999999999994E-3</v>
      </c>
    </row>
    <row r="87" spans="1:28" ht="36" x14ac:dyDescent="0.25">
      <c r="A87" s="895"/>
      <c r="B87" s="346" t="s">
        <v>552</v>
      </c>
      <c r="C87" s="927"/>
      <c r="D87" s="329">
        <v>0.02</v>
      </c>
      <c r="E87" s="329">
        <v>0.01</v>
      </c>
      <c r="F87" s="347">
        <v>1.4</v>
      </c>
      <c r="G87" s="329">
        <v>1</v>
      </c>
      <c r="H87" s="329">
        <v>0.01</v>
      </c>
      <c r="I87" s="329" t="s">
        <v>55</v>
      </c>
      <c r="J87" s="329">
        <v>0.4</v>
      </c>
      <c r="K87" s="329" t="s">
        <v>55</v>
      </c>
      <c r="L87" s="329" t="s">
        <v>55</v>
      </c>
      <c r="M87" s="329">
        <v>0.5</v>
      </c>
      <c r="N87" s="329">
        <v>224</v>
      </c>
      <c r="O87" s="329">
        <v>154529</v>
      </c>
      <c r="P87" s="329" t="s">
        <v>55</v>
      </c>
      <c r="Q87" s="329" t="s">
        <v>55</v>
      </c>
      <c r="R87" s="329" t="s">
        <v>55</v>
      </c>
      <c r="S87" s="329" t="s">
        <v>55</v>
      </c>
      <c r="T87" s="329" t="s">
        <v>55</v>
      </c>
      <c r="U87" s="895"/>
      <c r="V87" s="895"/>
      <c r="W87" s="329">
        <v>0.85</v>
      </c>
      <c r="X87" s="329">
        <f>ROUND((D87*E87*F87*G87*H87*J87*N87*1000000*M87/3600)*(1-W87),4)</f>
        <v>5.1999999999999998E-3</v>
      </c>
      <c r="Y87" s="329">
        <f>ROUND((D87*E87*F87*G87*H87*J87*M87*O87)*(1-W87),4)</f>
        <v>1.2999999999999999E-2</v>
      </c>
    </row>
    <row r="88" spans="1:28" x14ac:dyDescent="0.25">
      <c r="A88" s="895"/>
      <c r="B88" s="346" t="s">
        <v>87</v>
      </c>
      <c r="C88" s="927"/>
      <c r="D88" s="329" t="s">
        <v>55</v>
      </c>
      <c r="E88" s="329" t="s">
        <v>55</v>
      </c>
      <c r="F88" s="347">
        <v>1.4</v>
      </c>
      <c r="G88" s="329">
        <v>1</v>
      </c>
      <c r="H88" s="329">
        <v>0.01</v>
      </c>
      <c r="I88" s="329">
        <v>1.3</v>
      </c>
      <c r="J88" s="329">
        <v>0.4</v>
      </c>
      <c r="K88" s="329" t="s">
        <v>55</v>
      </c>
      <c r="L88" s="329" t="s">
        <v>55</v>
      </c>
      <c r="M88" s="329" t="s">
        <v>55</v>
      </c>
      <c r="N88" s="329" t="s">
        <v>55</v>
      </c>
      <c r="O88" s="329" t="s">
        <v>55</v>
      </c>
      <c r="P88" s="329">
        <v>2E-3</v>
      </c>
      <c r="Q88" s="329">
        <v>5000</v>
      </c>
      <c r="R88" s="329">
        <v>24</v>
      </c>
      <c r="S88" s="329">
        <v>0</v>
      </c>
      <c r="T88" s="329">
        <v>25</v>
      </c>
      <c r="U88" s="895"/>
      <c r="V88" s="895"/>
      <c r="W88" s="329">
        <v>0.85</v>
      </c>
      <c r="X88" s="329">
        <f>ROUND((F88*G88*H88*I88*J88*P88*Q88)*(1-W88),4)</f>
        <v>1.09E-2</v>
      </c>
      <c r="Y88" s="329">
        <f>ROUND((((X88*R88*(110-T88-S88)*3600)/1000000)),4)</f>
        <v>0.08</v>
      </c>
    </row>
    <row r="89" spans="1:28" ht="24" x14ac:dyDescent="0.25">
      <c r="A89" s="863"/>
      <c r="B89" s="346" t="s">
        <v>551</v>
      </c>
      <c r="C89" s="863"/>
      <c r="D89" s="329">
        <v>0.02</v>
      </c>
      <c r="E89" s="329">
        <v>0.01</v>
      </c>
      <c r="F89" s="347">
        <v>1.4</v>
      </c>
      <c r="G89" s="329">
        <v>1</v>
      </c>
      <c r="H89" s="329">
        <v>0.01</v>
      </c>
      <c r="I89" s="329" t="s">
        <v>55</v>
      </c>
      <c r="J89" s="329">
        <v>0.4</v>
      </c>
      <c r="K89" s="329" t="s">
        <v>55</v>
      </c>
      <c r="L89" s="329" t="s">
        <v>55</v>
      </c>
      <c r="M89" s="329">
        <v>0.5</v>
      </c>
      <c r="N89" s="329">
        <v>224</v>
      </c>
      <c r="O89" s="329">
        <v>154529</v>
      </c>
      <c r="P89" s="329" t="s">
        <v>55</v>
      </c>
      <c r="Q89" s="329" t="s">
        <v>55</v>
      </c>
      <c r="R89" s="329" t="s">
        <v>55</v>
      </c>
      <c r="S89" s="329" t="s">
        <v>55</v>
      </c>
      <c r="T89" s="329" t="s">
        <v>55</v>
      </c>
      <c r="U89" s="928"/>
      <c r="V89" s="928"/>
      <c r="W89" s="329">
        <v>0</v>
      </c>
      <c r="X89" s="329">
        <f>ROUND((D89*E89*F89*G89*H89*J89*N89*1000000*M89/3600)*(1-W89),4)</f>
        <v>3.4799999999999998E-2</v>
      </c>
      <c r="Y89" s="329">
        <f>ROUND((D89*E89*F89*G89*H89*J89*M89*O89)*(1-W89),4)</f>
        <v>8.6499999999999994E-2</v>
      </c>
    </row>
    <row r="90" spans="1:28" ht="44.25" customHeight="1" x14ac:dyDescent="0.25">
      <c r="A90" s="886" t="s">
        <v>548</v>
      </c>
      <c r="B90" s="887"/>
      <c r="C90" s="887"/>
      <c r="D90" s="887"/>
      <c r="E90" s="887"/>
      <c r="F90" s="887"/>
      <c r="G90" s="887"/>
      <c r="H90" s="887"/>
      <c r="I90" s="887"/>
      <c r="J90" s="887"/>
      <c r="K90" s="887"/>
      <c r="L90" s="887"/>
      <c r="M90" s="887"/>
      <c r="N90" s="887"/>
      <c r="O90" s="887"/>
      <c r="P90" s="887"/>
      <c r="Q90" s="887"/>
      <c r="R90" s="887"/>
      <c r="S90" s="887"/>
      <c r="T90" s="887"/>
      <c r="U90" s="348" t="s">
        <v>93</v>
      </c>
      <c r="V90" s="348">
        <v>2908</v>
      </c>
      <c r="W90" s="348"/>
      <c r="X90" s="348">
        <f>X86+X87+X88+X89</f>
        <v>5.4399999999999997E-2</v>
      </c>
      <c r="Y90" s="348">
        <f>SUM(Y86:Y89)</f>
        <v>0.18819999999999998</v>
      </c>
      <c r="Z90" s="234"/>
      <c r="AA90" s="234"/>
    </row>
    <row r="91" spans="1:28" ht="15.75" customHeight="1" x14ac:dyDescent="0.25">
      <c r="A91" s="932" t="s">
        <v>689</v>
      </c>
      <c r="B91" s="933"/>
      <c r="C91" s="933"/>
      <c r="D91" s="933"/>
      <c r="E91" s="933"/>
      <c r="F91" s="933"/>
      <c r="G91" s="933"/>
      <c r="H91" s="933"/>
      <c r="I91" s="933"/>
      <c r="J91" s="933"/>
      <c r="K91" s="933"/>
      <c r="L91" s="933"/>
      <c r="M91" s="933"/>
      <c r="N91" s="933"/>
      <c r="O91" s="933"/>
      <c r="P91" s="933"/>
      <c r="Q91" s="933"/>
      <c r="R91" s="933"/>
      <c r="S91" s="933"/>
      <c r="T91" s="933"/>
      <c r="U91" s="933"/>
      <c r="V91" s="933"/>
      <c r="W91" s="933"/>
      <c r="X91" s="933"/>
      <c r="Y91" s="934"/>
      <c r="Z91" s="3"/>
      <c r="AA91" s="3"/>
    </row>
    <row r="92" spans="1:28" ht="27" customHeight="1" x14ac:dyDescent="0.25">
      <c r="A92" s="894">
        <v>8032</v>
      </c>
      <c r="B92" s="346" t="s">
        <v>88</v>
      </c>
      <c r="C92" s="894" t="s">
        <v>682</v>
      </c>
      <c r="D92" s="329">
        <v>0.02</v>
      </c>
      <c r="E92" s="329">
        <v>0.01</v>
      </c>
      <c r="F92" s="347">
        <v>1.4</v>
      </c>
      <c r="G92" s="329">
        <v>1</v>
      </c>
      <c r="H92" s="329">
        <v>0.01</v>
      </c>
      <c r="I92" s="329" t="s">
        <v>55</v>
      </c>
      <c r="J92" s="329">
        <v>0.2</v>
      </c>
      <c r="K92" s="329">
        <v>1</v>
      </c>
      <c r="L92" s="329">
        <v>0.1</v>
      </c>
      <c r="M92" s="329">
        <v>0.5</v>
      </c>
      <c r="N92" s="329">
        <v>1462</v>
      </c>
      <c r="O92" s="329">
        <v>1351613</v>
      </c>
      <c r="P92" s="329" t="s">
        <v>55</v>
      </c>
      <c r="Q92" s="329" t="s">
        <v>55</v>
      </c>
      <c r="R92" s="329" t="s">
        <v>55</v>
      </c>
      <c r="S92" s="329" t="s">
        <v>55</v>
      </c>
      <c r="T92" s="329" t="s">
        <v>55</v>
      </c>
      <c r="U92" s="894" t="s">
        <v>93</v>
      </c>
      <c r="V92" s="894">
        <v>2908</v>
      </c>
      <c r="W92" s="329">
        <v>0</v>
      </c>
      <c r="X92" s="329">
        <f>ROUND((D92*E92*F92*G92*H92*J92*K92*L92*N92*1000000*M92/3600)*(1-W92),4)</f>
        <v>1.14E-2</v>
      </c>
      <c r="Y92" s="329">
        <f>ROUND((D92*E92*F92*G92*H92*J92*K92*L92*M92*O92)*(1-W92),4)</f>
        <v>3.78E-2</v>
      </c>
      <c r="Z92" s="3"/>
      <c r="AA92" s="3"/>
    </row>
    <row r="93" spans="1:28" ht="36" customHeight="1" x14ac:dyDescent="0.25">
      <c r="A93" s="895"/>
      <c r="B93" s="346" t="s">
        <v>552</v>
      </c>
      <c r="C93" s="927"/>
      <c r="D93" s="329">
        <v>0.02</v>
      </c>
      <c r="E93" s="329">
        <v>0.01</v>
      </c>
      <c r="F93" s="347">
        <v>1.4</v>
      </c>
      <c r="G93" s="329">
        <v>1</v>
      </c>
      <c r="H93" s="329">
        <v>0.01</v>
      </c>
      <c r="I93" s="329" t="s">
        <v>55</v>
      </c>
      <c r="J93" s="329">
        <v>0.2</v>
      </c>
      <c r="K93" s="329" t="s">
        <v>55</v>
      </c>
      <c r="L93" s="329" t="s">
        <v>55</v>
      </c>
      <c r="M93" s="329">
        <v>0.5</v>
      </c>
      <c r="N93" s="329">
        <v>1462</v>
      </c>
      <c r="O93" s="329">
        <v>1351613</v>
      </c>
      <c r="P93" s="329" t="s">
        <v>55</v>
      </c>
      <c r="Q93" s="329" t="s">
        <v>55</v>
      </c>
      <c r="R93" s="329" t="s">
        <v>55</v>
      </c>
      <c r="S93" s="329" t="s">
        <v>55</v>
      </c>
      <c r="T93" s="329" t="s">
        <v>55</v>
      </c>
      <c r="U93" s="895"/>
      <c r="V93" s="895"/>
      <c r="W93" s="329">
        <v>0.85</v>
      </c>
      <c r="X93" s="329">
        <f>ROUND((D93*E93*F93*G93*H93*J93*N93*1000000*M93/3600)*(1-W93),4)</f>
        <v>1.7100000000000001E-2</v>
      </c>
      <c r="Y93" s="329">
        <f>ROUND((D93*E93*F93*G93*H93*J93*M93*O93)*(1-W93),4)</f>
        <v>5.6800000000000003E-2</v>
      </c>
      <c r="Z93" s="9" t="s">
        <v>688</v>
      </c>
      <c r="AA93" s="9"/>
      <c r="AB93" s="9"/>
    </row>
    <row r="94" spans="1:28" ht="12.75" customHeight="1" x14ac:dyDescent="0.25">
      <c r="A94" s="895"/>
      <c r="B94" s="346" t="s">
        <v>87</v>
      </c>
      <c r="C94" s="927"/>
      <c r="D94" s="329" t="s">
        <v>55</v>
      </c>
      <c r="E94" s="329" t="s">
        <v>55</v>
      </c>
      <c r="F94" s="347">
        <v>1.4</v>
      </c>
      <c r="G94" s="329">
        <v>1</v>
      </c>
      <c r="H94" s="329">
        <v>0.01</v>
      </c>
      <c r="I94" s="329">
        <v>1.3</v>
      </c>
      <c r="J94" s="329">
        <v>0.2</v>
      </c>
      <c r="K94" s="329" t="s">
        <v>55</v>
      </c>
      <c r="L94" s="329" t="s">
        <v>55</v>
      </c>
      <c r="M94" s="329" t="s">
        <v>55</v>
      </c>
      <c r="N94" s="329" t="s">
        <v>55</v>
      </c>
      <c r="O94" s="329" t="s">
        <v>55</v>
      </c>
      <c r="P94" s="329">
        <v>2E-3</v>
      </c>
      <c r="Q94" s="329">
        <v>20000</v>
      </c>
      <c r="R94" s="329">
        <v>24</v>
      </c>
      <c r="S94" s="329">
        <v>0</v>
      </c>
      <c r="T94" s="329">
        <v>20</v>
      </c>
      <c r="U94" s="895"/>
      <c r="V94" s="895"/>
      <c r="W94" s="329">
        <v>0.85</v>
      </c>
      <c r="X94" s="329">
        <f>ROUND((F94*G94*H94*I94*J94*P94*Q94)*(1-W94),4)</f>
        <v>2.18E-2</v>
      </c>
      <c r="Y94" s="329">
        <f>ROUND((((X94*R94*(110-T94-S94)*3600)/1000000)),4)</f>
        <v>0.16950000000000001</v>
      </c>
      <c r="Z94" t="s">
        <v>549</v>
      </c>
      <c r="AB94"/>
    </row>
    <row r="95" spans="1:28" ht="24.75" customHeight="1" x14ac:dyDescent="0.25">
      <c r="A95" s="863"/>
      <c r="B95" s="346" t="s">
        <v>551</v>
      </c>
      <c r="C95" s="863"/>
      <c r="D95" s="329">
        <v>0.02</v>
      </c>
      <c r="E95" s="329">
        <v>0.01</v>
      </c>
      <c r="F95" s="347">
        <v>1.4</v>
      </c>
      <c r="G95" s="329">
        <v>1</v>
      </c>
      <c r="H95" s="329">
        <v>0.01</v>
      </c>
      <c r="I95" s="329" t="s">
        <v>55</v>
      </c>
      <c r="J95" s="329">
        <v>0.2</v>
      </c>
      <c r="K95" s="329" t="s">
        <v>55</v>
      </c>
      <c r="L95" s="329" t="s">
        <v>55</v>
      </c>
      <c r="M95" s="329">
        <v>0.5</v>
      </c>
      <c r="N95" s="329">
        <v>1462</v>
      </c>
      <c r="O95" s="329">
        <v>1351613</v>
      </c>
      <c r="P95" s="329" t="s">
        <v>55</v>
      </c>
      <c r="Q95" s="329" t="s">
        <v>55</v>
      </c>
      <c r="R95" s="329" t="s">
        <v>55</v>
      </c>
      <c r="S95" s="329" t="s">
        <v>55</v>
      </c>
      <c r="T95" s="329" t="s">
        <v>55</v>
      </c>
      <c r="U95" s="928"/>
      <c r="V95" s="928"/>
      <c r="W95" s="329">
        <v>0</v>
      </c>
      <c r="X95" s="329">
        <f>ROUND((D95*E95*F95*G95*H95*J95*N95*1000000*M95/3600)*(1-W95),4)</f>
        <v>0.1137</v>
      </c>
      <c r="Y95" s="329">
        <f>ROUND((D95*E95*F95*G95*H95*J95*M95*O95)*(1-W95),4)</f>
        <v>0.3785</v>
      </c>
      <c r="Z95" s="3"/>
      <c r="AA95" s="3"/>
    </row>
    <row r="96" spans="1:28" ht="44.25" customHeight="1" x14ac:dyDescent="0.25">
      <c r="A96" s="886" t="s">
        <v>690</v>
      </c>
      <c r="B96" s="887"/>
      <c r="C96" s="887"/>
      <c r="D96" s="887"/>
      <c r="E96" s="887"/>
      <c r="F96" s="887"/>
      <c r="G96" s="887"/>
      <c r="H96" s="887"/>
      <c r="I96" s="887"/>
      <c r="J96" s="887"/>
      <c r="K96" s="887"/>
      <c r="L96" s="887"/>
      <c r="M96" s="887"/>
      <c r="N96" s="887"/>
      <c r="O96" s="887"/>
      <c r="P96" s="887"/>
      <c r="Q96" s="887"/>
      <c r="R96" s="887"/>
      <c r="S96" s="887"/>
      <c r="T96" s="887"/>
      <c r="U96" s="348" t="s">
        <v>93</v>
      </c>
      <c r="V96" s="348">
        <v>2908</v>
      </c>
      <c r="W96" s="348"/>
      <c r="X96" s="348">
        <f>X92+X93+X94+X95</f>
        <v>0.16399999999999998</v>
      </c>
      <c r="Y96" s="348">
        <f>SUM(Y92:Y95)</f>
        <v>0.64260000000000006</v>
      </c>
      <c r="Z96" s="709">
        <f>X90+X96</f>
        <v>0.21839999999999998</v>
      </c>
      <c r="AA96" s="710">
        <f>Y90+Y96</f>
        <v>0.83079999999999998</v>
      </c>
      <c r="AB96" s="711">
        <v>2038</v>
      </c>
    </row>
    <row r="97" spans="1:28" ht="15" customHeight="1" x14ac:dyDescent="0.25">
      <c r="A97" s="929" t="s">
        <v>112</v>
      </c>
      <c r="B97" s="930"/>
      <c r="C97" s="930"/>
      <c r="D97" s="930"/>
      <c r="E97" s="930"/>
      <c r="F97" s="930"/>
      <c r="G97" s="930"/>
      <c r="H97" s="930"/>
      <c r="I97" s="930"/>
      <c r="J97" s="930"/>
      <c r="K97" s="930"/>
      <c r="L97" s="930"/>
      <c r="M97" s="930"/>
      <c r="N97" s="930"/>
      <c r="O97" s="930"/>
      <c r="P97" s="930"/>
      <c r="Q97" s="930"/>
      <c r="R97" s="930"/>
      <c r="S97" s="930"/>
      <c r="T97" s="930"/>
      <c r="U97" s="930"/>
      <c r="V97" s="930"/>
      <c r="W97" s="930"/>
      <c r="X97" s="930"/>
      <c r="Y97" s="931"/>
      <c r="Z97" s="696"/>
      <c r="AA97" s="696"/>
    </row>
    <row r="98" spans="1:28" ht="14.25" customHeight="1" x14ac:dyDescent="0.25">
      <c r="A98" s="932" t="s">
        <v>689</v>
      </c>
      <c r="B98" s="933"/>
      <c r="C98" s="933"/>
      <c r="D98" s="933"/>
      <c r="E98" s="933"/>
      <c r="F98" s="933"/>
      <c r="G98" s="933"/>
      <c r="H98" s="933"/>
      <c r="I98" s="933"/>
      <c r="J98" s="933"/>
      <c r="K98" s="933"/>
      <c r="L98" s="933"/>
      <c r="M98" s="933"/>
      <c r="N98" s="933"/>
      <c r="O98" s="933"/>
      <c r="P98" s="933"/>
      <c r="Q98" s="933"/>
      <c r="R98" s="933"/>
      <c r="S98" s="933"/>
      <c r="T98" s="933"/>
      <c r="U98" s="933"/>
      <c r="V98" s="933"/>
      <c r="W98" s="933"/>
      <c r="X98" s="933"/>
      <c r="Y98" s="934"/>
      <c r="Z98" s="3"/>
      <c r="AA98" s="3"/>
    </row>
    <row r="99" spans="1:28" ht="23.25" customHeight="1" x14ac:dyDescent="0.25">
      <c r="A99" s="894">
        <v>8032</v>
      </c>
      <c r="B99" s="346" t="s">
        <v>88</v>
      </c>
      <c r="C99" s="894" t="s">
        <v>682</v>
      </c>
      <c r="D99" s="329">
        <v>0.02</v>
      </c>
      <c r="E99" s="329">
        <v>0.01</v>
      </c>
      <c r="F99" s="347">
        <v>1.4</v>
      </c>
      <c r="G99" s="329">
        <v>1</v>
      </c>
      <c r="H99" s="329">
        <v>0.01</v>
      </c>
      <c r="I99" s="329" t="s">
        <v>55</v>
      </c>
      <c r="J99" s="329">
        <v>0.2</v>
      </c>
      <c r="K99" s="329">
        <v>1</v>
      </c>
      <c r="L99" s="329">
        <v>0.1</v>
      </c>
      <c r="M99" s="329">
        <v>0.5</v>
      </c>
      <c r="N99" s="329">
        <v>1190</v>
      </c>
      <c r="O99" s="329">
        <v>1311537</v>
      </c>
      <c r="P99" s="329" t="s">
        <v>55</v>
      </c>
      <c r="Q99" s="329" t="s">
        <v>55</v>
      </c>
      <c r="R99" s="329" t="s">
        <v>55</v>
      </c>
      <c r="S99" s="329" t="s">
        <v>55</v>
      </c>
      <c r="T99" s="329" t="s">
        <v>55</v>
      </c>
      <c r="U99" s="894" t="s">
        <v>93</v>
      </c>
      <c r="V99" s="894">
        <v>2908</v>
      </c>
      <c r="W99" s="329">
        <v>0</v>
      </c>
      <c r="X99" s="329">
        <f>ROUND((D99*E99*F99*G99*H99*J99*K99*L99*N99*1000000*M99/3600)*(1-W99),4)</f>
        <v>9.2999999999999992E-3</v>
      </c>
      <c r="Y99" s="329">
        <f>ROUND((D99*E99*F99*G99*H99*J99*K99*L99*M99*O99)*(1-W99),4)</f>
        <v>3.6700000000000003E-2</v>
      </c>
      <c r="Z99" s="3"/>
      <c r="AA99" s="3"/>
    </row>
    <row r="100" spans="1:28" ht="39" customHeight="1" x14ac:dyDescent="0.25">
      <c r="A100" s="895"/>
      <c r="B100" s="346" t="s">
        <v>552</v>
      </c>
      <c r="C100" s="927"/>
      <c r="D100" s="329">
        <v>0.02</v>
      </c>
      <c r="E100" s="329">
        <v>0.01</v>
      </c>
      <c r="F100" s="347">
        <v>1.4</v>
      </c>
      <c r="G100" s="329">
        <v>1</v>
      </c>
      <c r="H100" s="329">
        <v>0.01</v>
      </c>
      <c r="I100" s="329" t="s">
        <v>55</v>
      </c>
      <c r="J100" s="329">
        <v>0.2</v>
      </c>
      <c r="K100" s="329" t="s">
        <v>55</v>
      </c>
      <c r="L100" s="329" t="s">
        <v>55</v>
      </c>
      <c r="M100" s="329">
        <v>0.5</v>
      </c>
      <c r="N100" s="329">
        <v>1190</v>
      </c>
      <c r="O100" s="329">
        <v>1311537</v>
      </c>
      <c r="P100" s="329" t="s">
        <v>55</v>
      </c>
      <c r="Q100" s="329" t="s">
        <v>55</v>
      </c>
      <c r="R100" s="329" t="s">
        <v>55</v>
      </c>
      <c r="S100" s="329" t="s">
        <v>55</v>
      </c>
      <c r="T100" s="329" t="s">
        <v>55</v>
      </c>
      <c r="U100" s="895"/>
      <c r="V100" s="895"/>
      <c r="W100" s="329">
        <v>0.85</v>
      </c>
      <c r="X100" s="329">
        <f>ROUND((D100*E100*F100*G100*H100*J100*N100*1000000*M100/3600)*(1-W100),4)</f>
        <v>1.3899999999999999E-2</v>
      </c>
      <c r="Y100" s="329">
        <f>ROUND((D100*E100*F100*G100*H100*J100*M100*O100)*(1-W100),4)</f>
        <v>5.5100000000000003E-2</v>
      </c>
      <c r="Z100" s="9" t="s">
        <v>688</v>
      </c>
      <c r="AA100" s="9"/>
      <c r="AB100" s="9"/>
    </row>
    <row r="101" spans="1:28" ht="15.75" customHeight="1" x14ac:dyDescent="0.25">
      <c r="A101" s="895"/>
      <c r="B101" s="346" t="s">
        <v>87</v>
      </c>
      <c r="C101" s="927"/>
      <c r="D101" s="329" t="s">
        <v>55</v>
      </c>
      <c r="E101" s="329" t="s">
        <v>55</v>
      </c>
      <c r="F101" s="347">
        <v>1.4</v>
      </c>
      <c r="G101" s="329">
        <v>1</v>
      </c>
      <c r="H101" s="329">
        <v>0.01</v>
      </c>
      <c r="I101" s="329">
        <v>1.3</v>
      </c>
      <c r="J101" s="329">
        <v>0.2</v>
      </c>
      <c r="K101" s="329" t="s">
        <v>55</v>
      </c>
      <c r="L101" s="329" t="s">
        <v>55</v>
      </c>
      <c r="M101" s="329" t="s">
        <v>55</v>
      </c>
      <c r="N101" s="329" t="s">
        <v>55</v>
      </c>
      <c r="O101" s="329" t="s">
        <v>55</v>
      </c>
      <c r="P101" s="329">
        <v>2E-3</v>
      </c>
      <c r="Q101" s="329">
        <v>20000</v>
      </c>
      <c r="R101" s="329">
        <v>24</v>
      </c>
      <c r="S101" s="329">
        <v>0</v>
      </c>
      <c r="T101" s="329">
        <v>20</v>
      </c>
      <c r="U101" s="895"/>
      <c r="V101" s="895"/>
      <c r="W101" s="329">
        <v>0.85</v>
      </c>
      <c r="X101" s="329">
        <f>ROUND((F101*G101*H101*I101*J101*P101*Q101)*(1-W101),4)</f>
        <v>2.18E-2</v>
      </c>
      <c r="Y101" s="329">
        <f>ROUND((((X101*R101*(110-T101-S101)*3600)/1000000)),4)</f>
        <v>0.16950000000000001</v>
      </c>
      <c r="Z101" t="s">
        <v>549</v>
      </c>
      <c r="AB101"/>
    </row>
    <row r="102" spans="1:28" ht="25.5" customHeight="1" x14ac:dyDescent="0.25">
      <c r="A102" s="863"/>
      <c r="B102" s="346" t="s">
        <v>551</v>
      </c>
      <c r="C102" s="863"/>
      <c r="D102" s="329">
        <v>0.02</v>
      </c>
      <c r="E102" s="329">
        <v>0.01</v>
      </c>
      <c r="F102" s="347">
        <v>1.4</v>
      </c>
      <c r="G102" s="329">
        <v>1</v>
      </c>
      <c r="H102" s="329">
        <v>0.01</v>
      </c>
      <c r="I102" s="329" t="s">
        <v>55</v>
      </c>
      <c r="J102" s="329">
        <v>0.2</v>
      </c>
      <c r="K102" s="329" t="s">
        <v>55</v>
      </c>
      <c r="L102" s="329" t="s">
        <v>55</v>
      </c>
      <c r="M102" s="329">
        <v>0.5</v>
      </c>
      <c r="N102" s="329">
        <v>1190</v>
      </c>
      <c r="O102" s="329">
        <v>1311537</v>
      </c>
      <c r="P102" s="329" t="s">
        <v>55</v>
      </c>
      <c r="Q102" s="329" t="s">
        <v>55</v>
      </c>
      <c r="R102" s="329" t="s">
        <v>55</v>
      </c>
      <c r="S102" s="329" t="s">
        <v>55</v>
      </c>
      <c r="T102" s="329" t="s">
        <v>55</v>
      </c>
      <c r="U102" s="928"/>
      <c r="V102" s="928"/>
      <c r="W102" s="329">
        <v>0</v>
      </c>
      <c r="X102" s="329">
        <f>ROUND((D102*E102*F102*G102*H102*J102*N102*1000000*M102/3600)*(1-W102),4)</f>
        <v>9.2600000000000002E-2</v>
      </c>
      <c r="Y102" s="329">
        <f>ROUND((D102*E102*F102*G102*H102*J102*M102*O102)*(1-W102),4)</f>
        <v>0.36720000000000003</v>
      </c>
      <c r="Z102" s="3"/>
      <c r="AA102" s="3"/>
    </row>
    <row r="103" spans="1:28" ht="44.25" customHeight="1" x14ac:dyDescent="0.25">
      <c r="A103" s="886" t="s">
        <v>690</v>
      </c>
      <c r="B103" s="887"/>
      <c r="C103" s="887"/>
      <c r="D103" s="887"/>
      <c r="E103" s="887"/>
      <c r="F103" s="887"/>
      <c r="G103" s="887"/>
      <c r="H103" s="887"/>
      <c r="I103" s="887"/>
      <c r="J103" s="887"/>
      <c r="K103" s="887"/>
      <c r="L103" s="887"/>
      <c r="M103" s="887"/>
      <c r="N103" s="887"/>
      <c r="O103" s="887"/>
      <c r="P103" s="887"/>
      <c r="Q103" s="887"/>
      <c r="R103" s="887"/>
      <c r="S103" s="887"/>
      <c r="T103" s="887"/>
      <c r="U103" s="348" t="s">
        <v>93</v>
      </c>
      <c r="V103" s="348">
        <v>2908</v>
      </c>
      <c r="W103" s="348"/>
      <c r="X103" s="348">
        <f>X99+X100+X101+X102</f>
        <v>0.1376</v>
      </c>
      <c r="Y103" s="348">
        <f>SUM(Y99:Y102)</f>
        <v>0.62850000000000006</v>
      </c>
      <c r="Z103" s="709">
        <f>X103</f>
        <v>0.1376</v>
      </c>
      <c r="AA103" s="710">
        <f>Y103</f>
        <v>0.62850000000000006</v>
      </c>
      <c r="AB103" s="711">
        <v>2042</v>
      </c>
    </row>
    <row r="104" spans="1:28" ht="14.25" customHeight="1" x14ac:dyDescent="0.25">
      <c r="A104" s="929" t="s">
        <v>114</v>
      </c>
      <c r="B104" s="930"/>
      <c r="C104" s="930"/>
      <c r="D104" s="930"/>
      <c r="E104" s="930"/>
      <c r="F104" s="930"/>
      <c r="G104" s="930"/>
      <c r="H104" s="930"/>
      <c r="I104" s="930"/>
      <c r="J104" s="930"/>
      <c r="K104" s="930"/>
      <c r="L104" s="930"/>
      <c r="M104" s="930"/>
      <c r="N104" s="930"/>
      <c r="O104" s="930"/>
      <c r="P104" s="930"/>
      <c r="Q104" s="930"/>
      <c r="R104" s="930"/>
      <c r="S104" s="930"/>
      <c r="T104" s="930"/>
      <c r="U104" s="930"/>
      <c r="V104" s="930"/>
      <c r="W104" s="930"/>
      <c r="X104" s="930"/>
      <c r="Y104" s="931"/>
      <c r="Z104" s="696"/>
      <c r="AA104" s="696"/>
    </row>
    <row r="105" spans="1:28" ht="13.5" customHeight="1" x14ac:dyDescent="0.25">
      <c r="A105" s="932" t="s">
        <v>689</v>
      </c>
      <c r="B105" s="933"/>
      <c r="C105" s="933"/>
      <c r="D105" s="933"/>
      <c r="E105" s="933"/>
      <c r="F105" s="933"/>
      <c r="G105" s="933"/>
      <c r="H105" s="933"/>
      <c r="I105" s="933"/>
      <c r="J105" s="933"/>
      <c r="K105" s="933"/>
      <c r="L105" s="933"/>
      <c r="M105" s="933"/>
      <c r="N105" s="933"/>
      <c r="O105" s="933"/>
      <c r="P105" s="933"/>
      <c r="Q105" s="933"/>
      <c r="R105" s="933"/>
      <c r="S105" s="933"/>
      <c r="T105" s="933"/>
      <c r="U105" s="933"/>
      <c r="V105" s="933"/>
      <c r="W105" s="933"/>
      <c r="X105" s="933"/>
      <c r="Y105" s="934"/>
      <c r="Z105" s="3"/>
      <c r="AA105" s="3"/>
    </row>
    <row r="106" spans="1:28" ht="24" customHeight="1" x14ac:dyDescent="0.25">
      <c r="A106" s="894">
        <v>8032</v>
      </c>
      <c r="B106" s="346" t="s">
        <v>88</v>
      </c>
      <c r="C106" s="894" t="s">
        <v>682</v>
      </c>
      <c r="D106" s="329">
        <v>0.02</v>
      </c>
      <c r="E106" s="329">
        <v>0.01</v>
      </c>
      <c r="F106" s="347">
        <v>1.4</v>
      </c>
      <c r="G106" s="329">
        <v>1</v>
      </c>
      <c r="H106" s="329">
        <v>0.01</v>
      </c>
      <c r="I106" s="329" t="s">
        <v>55</v>
      </c>
      <c r="J106" s="329">
        <v>0.2</v>
      </c>
      <c r="K106" s="329">
        <v>1</v>
      </c>
      <c r="L106" s="329">
        <v>0.1</v>
      </c>
      <c r="M106" s="329">
        <v>0.5</v>
      </c>
      <c r="N106" s="329">
        <v>1190</v>
      </c>
      <c r="O106" s="329">
        <v>1639421</v>
      </c>
      <c r="P106" s="329" t="s">
        <v>55</v>
      </c>
      <c r="Q106" s="329" t="s">
        <v>55</v>
      </c>
      <c r="R106" s="329" t="s">
        <v>55</v>
      </c>
      <c r="S106" s="329" t="s">
        <v>55</v>
      </c>
      <c r="T106" s="329" t="s">
        <v>55</v>
      </c>
      <c r="U106" s="894" t="s">
        <v>93</v>
      </c>
      <c r="V106" s="894">
        <v>2908</v>
      </c>
      <c r="W106" s="329">
        <v>0</v>
      </c>
      <c r="X106" s="329">
        <f>ROUND((D106*E106*F106*G106*H106*J106*K106*L106*N106*1000000*M106/3600)*(1-W106),4)</f>
        <v>9.2999999999999992E-3</v>
      </c>
      <c r="Y106" s="329">
        <f>ROUND((D106*E106*F106*G106*H106*J106*K106*L106*M106*O106)*(1-W106),4)</f>
        <v>4.5900000000000003E-2</v>
      </c>
      <c r="Z106" s="3"/>
      <c r="AA106" s="3"/>
    </row>
    <row r="107" spans="1:28" ht="37.5" customHeight="1" x14ac:dyDescent="0.25">
      <c r="A107" s="895"/>
      <c r="B107" s="346" t="s">
        <v>552</v>
      </c>
      <c r="C107" s="927"/>
      <c r="D107" s="329">
        <v>0.02</v>
      </c>
      <c r="E107" s="329">
        <v>0.01</v>
      </c>
      <c r="F107" s="347">
        <v>1.4</v>
      </c>
      <c r="G107" s="329">
        <v>1</v>
      </c>
      <c r="H107" s="329">
        <v>0.01</v>
      </c>
      <c r="I107" s="329" t="s">
        <v>55</v>
      </c>
      <c r="J107" s="329">
        <v>0.2</v>
      </c>
      <c r="K107" s="329" t="s">
        <v>55</v>
      </c>
      <c r="L107" s="329" t="s">
        <v>55</v>
      </c>
      <c r="M107" s="329">
        <v>0.5</v>
      </c>
      <c r="N107" s="329">
        <v>1190</v>
      </c>
      <c r="O107" s="329">
        <v>1639421</v>
      </c>
      <c r="P107" s="329" t="s">
        <v>55</v>
      </c>
      <c r="Q107" s="329" t="s">
        <v>55</v>
      </c>
      <c r="R107" s="329" t="s">
        <v>55</v>
      </c>
      <c r="S107" s="329" t="s">
        <v>55</v>
      </c>
      <c r="T107" s="329" t="s">
        <v>55</v>
      </c>
      <c r="U107" s="895"/>
      <c r="V107" s="895"/>
      <c r="W107" s="329">
        <v>0.85</v>
      </c>
      <c r="X107" s="329">
        <f>ROUND((D107*E107*F107*G107*H107*J107*N107*1000000*M107/3600)*(1-W107),4)</f>
        <v>1.3899999999999999E-2</v>
      </c>
      <c r="Y107" s="329">
        <f>ROUND((D107*E107*F107*G107*H107*J107*M107*O107)*(1-W107),4)</f>
        <v>6.8900000000000003E-2</v>
      </c>
      <c r="Z107" s="9" t="s">
        <v>688</v>
      </c>
      <c r="AA107" s="9"/>
      <c r="AB107" s="9"/>
    </row>
    <row r="108" spans="1:28" ht="14.25" customHeight="1" x14ac:dyDescent="0.25">
      <c r="A108" s="895"/>
      <c r="B108" s="346" t="s">
        <v>87</v>
      </c>
      <c r="C108" s="927"/>
      <c r="D108" s="329" t="s">
        <v>55</v>
      </c>
      <c r="E108" s="329" t="s">
        <v>55</v>
      </c>
      <c r="F108" s="347">
        <v>1.4</v>
      </c>
      <c r="G108" s="329">
        <v>1</v>
      </c>
      <c r="H108" s="329">
        <v>0.01</v>
      </c>
      <c r="I108" s="329">
        <v>1.3</v>
      </c>
      <c r="J108" s="329">
        <v>0.2</v>
      </c>
      <c r="K108" s="329" t="s">
        <v>55</v>
      </c>
      <c r="L108" s="329" t="s">
        <v>55</v>
      </c>
      <c r="M108" s="329" t="s">
        <v>55</v>
      </c>
      <c r="N108" s="329" t="s">
        <v>55</v>
      </c>
      <c r="O108" s="329" t="s">
        <v>55</v>
      </c>
      <c r="P108" s="329">
        <v>2E-3</v>
      </c>
      <c r="Q108" s="329">
        <v>20000</v>
      </c>
      <c r="R108" s="329">
        <v>24</v>
      </c>
      <c r="S108" s="329">
        <v>0</v>
      </c>
      <c r="T108" s="329">
        <v>20</v>
      </c>
      <c r="U108" s="895"/>
      <c r="V108" s="895"/>
      <c r="W108" s="329">
        <v>0.85</v>
      </c>
      <c r="X108" s="329">
        <f>ROUND((F108*G108*H108*I108*J108*P108*Q108)*(1-W108),4)</f>
        <v>2.18E-2</v>
      </c>
      <c r="Y108" s="329">
        <f>ROUND((((X108*R108*(110-T108-S108)*3600)/1000000)),4)</f>
        <v>0.16950000000000001</v>
      </c>
      <c r="Z108" t="s">
        <v>549</v>
      </c>
      <c r="AB108"/>
    </row>
    <row r="109" spans="1:28" ht="23.25" customHeight="1" x14ac:dyDescent="0.25">
      <c r="A109" s="863"/>
      <c r="B109" s="346" t="s">
        <v>551</v>
      </c>
      <c r="C109" s="863"/>
      <c r="D109" s="329">
        <v>0.02</v>
      </c>
      <c r="E109" s="329">
        <v>0.01</v>
      </c>
      <c r="F109" s="347">
        <v>1.4</v>
      </c>
      <c r="G109" s="329">
        <v>1</v>
      </c>
      <c r="H109" s="329">
        <v>0.01</v>
      </c>
      <c r="I109" s="329" t="s">
        <v>55</v>
      </c>
      <c r="J109" s="329">
        <v>0.2</v>
      </c>
      <c r="K109" s="329" t="s">
        <v>55</v>
      </c>
      <c r="L109" s="329" t="s">
        <v>55</v>
      </c>
      <c r="M109" s="329">
        <v>0.5</v>
      </c>
      <c r="N109" s="329">
        <v>1190</v>
      </c>
      <c r="O109" s="329">
        <v>1639421</v>
      </c>
      <c r="P109" s="329" t="s">
        <v>55</v>
      </c>
      <c r="Q109" s="329" t="s">
        <v>55</v>
      </c>
      <c r="R109" s="329" t="s">
        <v>55</v>
      </c>
      <c r="S109" s="329" t="s">
        <v>55</v>
      </c>
      <c r="T109" s="329" t="s">
        <v>55</v>
      </c>
      <c r="U109" s="928"/>
      <c r="V109" s="928"/>
      <c r="W109" s="329">
        <v>0</v>
      </c>
      <c r="X109" s="329">
        <f>ROUND((D109*E109*F109*G109*H109*J109*N109*1000000*M109/3600)*(1-W109),4)</f>
        <v>9.2600000000000002E-2</v>
      </c>
      <c r="Y109" s="329">
        <f>ROUND((D109*E109*F109*G109*H109*J109*M109*O109)*(1-W109),4)</f>
        <v>0.45900000000000002</v>
      </c>
      <c r="Z109" s="3"/>
      <c r="AA109" s="3"/>
    </row>
    <row r="110" spans="1:28" ht="44.25" customHeight="1" x14ac:dyDescent="0.25">
      <c r="A110" s="886" t="s">
        <v>690</v>
      </c>
      <c r="B110" s="887"/>
      <c r="C110" s="887"/>
      <c r="D110" s="887"/>
      <c r="E110" s="887"/>
      <c r="F110" s="887"/>
      <c r="G110" s="887"/>
      <c r="H110" s="887"/>
      <c r="I110" s="887"/>
      <c r="J110" s="887"/>
      <c r="K110" s="887"/>
      <c r="L110" s="887"/>
      <c r="M110" s="887"/>
      <c r="N110" s="887"/>
      <c r="O110" s="887"/>
      <c r="P110" s="887"/>
      <c r="Q110" s="887"/>
      <c r="R110" s="887"/>
      <c r="S110" s="887"/>
      <c r="T110" s="887"/>
      <c r="U110" s="348" t="s">
        <v>93</v>
      </c>
      <c r="V110" s="348">
        <v>2908</v>
      </c>
      <c r="W110" s="348"/>
      <c r="X110" s="348">
        <f>X106+X107+X108+X109</f>
        <v>0.1376</v>
      </c>
      <c r="Y110" s="348">
        <f>SUM(Y106:Y109)</f>
        <v>0.74330000000000007</v>
      </c>
      <c r="Z110" s="709">
        <f>X110</f>
        <v>0.1376</v>
      </c>
      <c r="AA110" s="710">
        <f>Y110</f>
        <v>0.74330000000000007</v>
      </c>
      <c r="AB110" s="711">
        <v>2043</v>
      </c>
    </row>
    <row r="111" spans="1:28" ht="13.5" customHeight="1" x14ac:dyDescent="0.25">
      <c r="A111" s="929" t="s">
        <v>115</v>
      </c>
      <c r="B111" s="930"/>
      <c r="C111" s="930"/>
      <c r="D111" s="930"/>
      <c r="E111" s="930"/>
      <c r="F111" s="930"/>
      <c r="G111" s="930"/>
      <c r="H111" s="930"/>
      <c r="I111" s="930"/>
      <c r="J111" s="930"/>
      <c r="K111" s="930"/>
      <c r="L111" s="930"/>
      <c r="M111" s="930"/>
      <c r="N111" s="930"/>
      <c r="O111" s="930"/>
      <c r="P111" s="930"/>
      <c r="Q111" s="930"/>
      <c r="R111" s="930"/>
      <c r="S111" s="930"/>
      <c r="T111" s="930"/>
      <c r="U111" s="930"/>
      <c r="V111" s="930"/>
      <c r="W111" s="930"/>
      <c r="X111" s="930"/>
      <c r="Y111" s="931"/>
    </row>
    <row r="112" spans="1:28" ht="15.75" customHeight="1" x14ac:dyDescent="0.25">
      <c r="A112" s="932" t="s">
        <v>547</v>
      </c>
      <c r="B112" s="933"/>
      <c r="C112" s="933"/>
      <c r="D112" s="933"/>
      <c r="E112" s="933"/>
      <c r="F112" s="933"/>
      <c r="G112" s="933"/>
      <c r="H112" s="933"/>
      <c r="I112" s="933"/>
      <c r="J112" s="933"/>
      <c r="K112" s="933"/>
      <c r="L112" s="933"/>
      <c r="M112" s="933"/>
      <c r="N112" s="933"/>
      <c r="O112" s="933"/>
      <c r="P112" s="933"/>
      <c r="Q112" s="933"/>
      <c r="R112" s="933"/>
      <c r="S112" s="933"/>
      <c r="T112" s="933"/>
      <c r="U112" s="933"/>
      <c r="V112" s="933"/>
      <c r="W112" s="933"/>
      <c r="X112" s="933"/>
      <c r="Y112" s="934"/>
    </row>
    <row r="113" spans="1:28" ht="24" x14ac:dyDescent="0.25">
      <c r="A113" s="894">
        <v>8027</v>
      </c>
      <c r="B113" s="346" t="s">
        <v>88</v>
      </c>
      <c r="C113" s="894" t="s">
        <v>279</v>
      </c>
      <c r="D113" s="329">
        <v>0.02</v>
      </c>
      <c r="E113" s="329">
        <v>0.01</v>
      </c>
      <c r="F113" s="347">
        <v>1.4</v>
      </c>
      <c r="G113" s="329">
        <v>1</v>
      </c>
      <c r="H113" s="329">
        <v>0.01</v>
      </c>
      <c r="I113" s="329" t="s">
        <v>55</v>
      </c>
      <c r="J113" s="329">
        <v>0.4</v>
      </c>
      <c r="K113" s="329">
        <v>1</v>
      </c>
      <c r="L113" s="329">
        <v>0.1</v>
      </c>
      <c r="M113" s="329">
        <v>0.5</v>
      </c>
      <c r="N113" s="329">
        <v>196</v>
      </c>
      <c r="O113" s="329">
        <v>104930</v>
      </c>
      <c r="P113" s="329" t="s">
        <v>55</v>
      </c>
      <c r="Q113" s="329" t="s">
        <v>55</v>
      </c>
      <c r="R113" s="329" t="s">
        <v>55</v>
      </c>
      <c r="S113" s="329" t="s">
        <v>55</v>
      </c>
      <c r="T113" s="329" t="s">
        <v>55</v>
      </c>
      <c r="U113" s="894" t="s">
        <v>93</v>
      </c>
      <c r="V113" s="894">
        <v>2908</v>
      </c>
      <c r="W113" s="329">
        <v>0</v>
      </c>
      <c r="X113" s="329">
        <f>ROUND((D113*E113*F113*G113*H113*J113*K113*L113*N113*1000000*M113/3600)*(1-W113),4)</f>
        <v>3.0000000000000001E-3</v>
      </c>
      <c r="Y113" s="329">
        <f>ROUND((D113*E113*F113*G113*H113*J113*K113*L113*M113*O113)*(1-W113),4)</f>
        <v>5.8999999999999999E-3</v>
      </c>
    </row>
    <row r="114" spans="1:28" ht="36" x14ac:dyDescent="0.25">
      <c r="A114" s="895"/>
      <c r="B114" s="346" t="s">
        <v>552</v>
      </c>
      <c r="C114" s="927"/>
      <c r="D114" s="329">
        <v>0.02</v>
      </c>
      <c r="E114" s="329">
        <v>0.01</v>
      </c>
      <c r="F114" s="347">
        <v>1.4</v>
      </c>
      <c r="G114" s="329">
        <v>1</v>
      </c>
      <c r="H114" s="329">
        <v>0.01</v>
      </c>
      <c r="I114" s="329" t="s">
        <v>55</v>
      </c>
      <c r="J114" s="329">
        <v>0.4</v>
      </c>
      <c r="K114" s="329" t="s">
        <v>55</v>
      </c>
      <c r="L114" s="329" t="s">
        <v>55</v>
      </c>
      <c r="M114" s="329">
        <v>0.5</v>
      </c>
      <c r="N114" s="329">
        <v>196</v>
      </c>
      <c r="O114" s="329">
        <v>104930</v>
      </c>
      <c r="P114" s="329" t="s">
        <v>55</v>
      </c>
      <c r="Q114" s="329" t="s">
        <v>55</v>
      </c>
      <c r="R114" s="329" t="s">
        <v>55</v>
      </c>
      <c r="S114" s="329" t="s">
        <v>55</v>
      </c>
      <c r="T114" s="329" t="s">
        <v>55</v>
      </c>
      <c r="U114" s="895"/>
      <c r="V114" s="895"/>
      <c r="W114" s="329">
        <v>0.85</v>
      </c>
      <c r="X114" s="329">
        <f>ROUND((D114*E114*F114*G114*H114*J114*N114*1000000*M114/3600)*(1-W114),4)</f>
        <v>4.5999999999999999E-3</v>
      </c>
      <c r="Y114" s="329">
        <f>ROUND((D114*E114*F114*G114*H114*J114*M114*O114)*(1-W114),4)</f>
        <v>8.8000000000000005E-3</v>
      </c>
    </row>
    <row r="115" spans="1:28" x14ac:dyDescent="0.25">
      <c r="A115" s="895"/>
      <c r="B115" s="346" t="s">
        <v>87</v>
      </c>
      <c r="C115" s="927"/>
      <c r="D115" s="329" t="s">
        <v>55</v>
      </c>
      <c r="E115" s="329" t="s">
        <v>55</v>
      </c>
      <c r="F115" s="347">
        <v>1.4</v>
      </c>
      <c r="G115" s="329">
        <v>1</v>
      </c>
      <c r="H115" s="329">
        <v>0.01</v>
      </c>
      <c r="I115" s="329">
        <v>1.3</v>
      </c>
      <c r="J115" s="329">
        <v>0.4</v>
      </c>
      <c r="K115" s="329" t="s">
        <v>55</v>
      </c>
      <c r="L115" s="329" t="s">
        <v>55</v>
      </c>
      <c r="M115" s="329" t="s">
        <v>55</v>
      </c>
      <c r="N115" s="329" t="s">
        <v>55</v>
      </c>
      <c r="O115" s="329" t="s">
        <v>55</v>
      </c>
      <c r="P115" s="329">
        <v>2E-3</v>
      </c>
      <c r="Q115" s="329">
        <v>5000</v>
      </c>
      <c r="R115" s="329">
        <v>24</v>
      </c>
      <c r="S115" s="329">
        <v>0</v>
      </c>
      <c r="T115" s="329">
        <v>25</v>
      </c>
      <c r="U115" s="895"/>
      <c r="V115" s="895"/>
      <c r="W115" s="329">
        <v>0.85</v>
      </c>
      <c r="X115" s="329">
        <f>ROUND((F115*G115*H115*I115*J115*P115*Q115)*(1-W115),4)</f>
        <v>1.09E-2</v>
      </c>
      <c r="Y115" s="329">
        <f>ROUND((((X115*R115*(110-T115-S115)*3600)/1000000)),4)</f>
        <v>0.08</v>
      </c>
    </row>
    <row r="116" spans="1:28" ht="24" x14ac:dyDescent="0.25">
      <c r="A116" s="863"/>
      <c r="B116" s="346" t="s">
        <v>551</v>
      </c>
      <c r="C116" s="863"/>
      <c r="D116" s="329">
        <v>0.02</v>
      </c>
      <c r="E116" s="329">
        <v>0.01</v>
      </c>
      <c r="F116" s="347">
        <v>1.4</v>
      </c>
      <c r="G116" s="329">
        <v>1</v>
      </c>
      <c r="H116" s="329">
        <v>0.01</v>
      </c>
      <c r="I116" s="329" t="s">
        <v>55</v>
      </c>
      <c r="J116" s="329">
        <v>0.4</v>
      </c>
      <c r="K116" s="329" t="s">
        <v>55</v>
      </c>
      <c r="L116" s="329" t="s">
        <v>55</v>
      </c>
      <c r="M116" s="329">
        <v>0.5</v>
      </c>
      <c r="N116" s="329">
        <v>196</v>
      </c>
      <c r="O116" s="329">
        <v>104930</v>
      </c>
      <c r="P116" s="329" t="s">
        <v>55</v>
      </c>
      <c r="Q116" s="329" t="s">
        <v>55</v>
      </c>
      <c r="R116" s="329" t="s">
        <v>55</v>
      </c>
      <c r="S116" s="329" t="s">
        <v>55</v>
      </c>
      <c r="T116" s="329" t="s">
        <v>55</v>
      </c>
      <c r="U116" s="928"/>
      <c r="V116" s="928"/>
      <c r="W116" s="329">
        <v>0</v>
      </c>
      <c r="X116" s="329">
        <f>ROUND((D116*E116*F116*G116*H116*J116*N116*1000000*M116/3600)*(1-W116),4)</f>
        <v>3.0499999999999999E-2</v>
      </c>
      <c r="Y116" s="329">
        <f>ROUND((D116*E116*F116*G116*H116*J116*M116*O116)*(1-W116),4)</f>
        <v>5.8799999999999998E-2</v>
      </c>
    </row>
    <row r="117" spans="1:28" ht="54" customHeight="1" x14ac:dyDescent="0.25">
      <c r="A117" s="886" t="s">
        <v>548</v>
      </c>
      <c r="B117" s="887"/>
      <c r="C117" s="887"/>
      <c r="D117" s="887"/>
      <c r="E117" s="887"/>
      <c r="F117" s="887"/>
      <c r="G117" s="887"/>
      <c r="H117" s="887"/>
      <c r="I117" s="887"/>
      <c r="J117" s="887"/>
      <c r="K117" s="887"/>
      <c r="L117" s="887"/>
      <c r="M117" s="887"/>
      <c r="N117" s="887"/>
      <c r="O117" s="887"/>
      <c r="P117" s="887"/>
      <c r="Q117" s="887"/>
      <c r="R117" s="887"/>
      <c r="S117" s="887"/>
      <c r="T117" s="887"/>
      <c r="U117" s="348" t="s">
        <v>93</v>
      </c>
      <c r="V117" s="348">
        <v>2908</v>
      </c>
      <c r="W117" s="348"/>
      <c r="X117" s="348">
        <f>X113+X114+X115+X116</f>
        <v>4.9000000000000002E-2</v>
      </c>
      <c r="Y117" s="348">
        <f>SUM(Y113:Y116)</f>
        <v>0.1535</v>
      </c>
      <c r="Z117" s="712"/>
      <c r="AA117" s="234"/>
    </row>
    <row r="118" spans="1:28" ht="15.75" customHeight="1" x14ac:dyDescent="0.25">
      <c r="A118" s="932" t="s">
        <v>686</v>
      </c>
      <c r="B118" s="933"/>
      <c r="C118" s="933"/>
      <c r="D118" s="933"/>
      <c r="E118" s="933"/>
      <c r="F118" s="933"/>
      <c r="G118" s="933"/>
      <c r="H118" s="933"/>
      <c r="I118" s="933"/>
      <c r="J118" s="933"/>
      <c r="K118" s="933"/>
      <c r="L118" s="933"/>
      <c r="M118" s="933"/>
      <c r="N118" s="933"/>
      <c r="O118" s="933"/>
      <c r="P118" s="933"/>
      <c r="Q118" s="933"/>
      <c r="R118" s="933"/>
      <c r="S118" s="933"/>
      <c r="T118" s="933"/>
      <c r="U118" s="933"/>
      <c r="V118" s="933"/>
      <c r="W118" s="933"/>
      <c r="X118" s="933"/>
      <c r="Y118" s="934"/>
      <c r="Z118" s="3"/>
      <c r="AA118" s="3"/>
    </row>
    <row r="119" spans="1:28" ht="26.25" customHeight="1" x14ac:dyDescent="0.25">
      <c r="A119" s="894">
        <v>8031</v>
      </c>
      <c r="B119" s="346" t="s">
        <v>88</v>
      </c>
      <c r="C119" s="894" t="s">
        <v>682</v>
      </c>
      <c r="D119" s="329">
        <v>0.02</v>
      </c>
      <c r="E119" s="329">
        <v>0.01</v>
      </c>
      <c r="F119" s="347">
        <v>1.4</v>
      </c>
      <c r="G119" s="329">
        <v>1</v>
      </c>
      <c r="H119" s="329">
        <v>0.01</v>
      </c>
      <c r="I119" s="329" t="s">
        <v>55</v>
      </c>
      <c r="J119" s="329">
        <v>0.2</v>
      </c>
      <c r="K119" s="329">
        <v>1</v>
      </c>
      <c r="L119" s="329">
        <v>0.1</v>
      </c>
      <c r="M119" s="329">
        <v>0.5</v>
      </c>
      <c r="N119" s="329">
        <v>595</v>
      </c>
      <c r="O119" s="329">
        <v>520635</v>
      </c>
      <c r="P119" s="329" t="s">
        <v>55</v>
      </c>
      <c r="Q119" s="329" t="s">
        <v>55</v>
      </c>
      <c r="R119" s="329" t="s">
        <v>55</v>
      </c>
      <c r="S119" s="329" t="s">
        <v>55</v>
      </c>
      <c r="T119" s="329" t="s">
        <v>55</v>
      </c>
      <c r="U119" s="894" t="s">
        <v>93</v>
      </c>
      <c r="V119" s="894">
        <v>2908</v>
      </c>
      <c r="W119" s="329">
        <v>0</v>
      </c>
      <c r="X119" s="329">
        <f>ROUND((D119*E119*F119*G119*H119*J119*K119*L119*N119*1000000*M119/3600)*(1-W119),4)</f>
        <v>4.5999999999999999E-3</v>
      </c>
      <c r="Y119" s="329">
        <f>ROUND((D119*E119*F119*G119*H119*J119*K119*L119*M119*O119)*(1-W119),4)</f>
        <v>1.46E-2</v>
      </c>
      <c r="Z119" s="3"/>
      <c r="AA119" s="3"/>
    </row>
    <row r="120" spans="1:28" ht="34.5" customHeight="1" x14ac:dyDescent="0.25">
      <c r="A120" s="895"/>
      <c r="B120" s="346" t="s">
        <v>552</v>
      </c>
      <c r="C120" s="927"/>
      <c r="D120" s="329">
        <v>0.02</v>
      </c>
      <c r="E120" s="329">
        <v>0.01</v>
      </c>
      <c r="F120" s="347">
        <v>1.4</v>
      </c>
      <c r="G120" s="329">
        <v>1</v>
      </c>
      <c r="H120" s="329">
        <v>0.01</v>
      </c>
      <c r="I120" s="329" t="s">
        <v>55</v>
      </c>
      <c r="J120" s="329">
        <v>0.2</v>
      </c>
      <c r="K120" s="329" t="s">
        <v>55</v>
      </c>
      <c r="L120" s="329" t="s">
        <v>55</v>
      </c>
      <c r="M120" s="329">
        <v>0.5</v>
      </c>
      <c r="N120" s="329">
        <v>595</v>
      </c>
      <c r="O120" s="329">
        <v>520635</v>
      </c>
      <c r="P120" s="329" t="s">
        <v>55</v>
      </c>
      <c r="Q120" s="329" t="s">
        <v>55</v>
      </c>
      <c r="R120" s="329" t="s">
        <v>55</v>
      </c>
      <c r="S120" s="329" t="s">
        <v>55</v>
      </c>
      <c r="T120" s="329" t="s">
        <v>55</v>
      </c>
      <c r="U120" s="895"/>
      <c r="V120" s="895"/>
      <c r="W120" s="329">
        <v>0.85</v>
      </c>
      <c r="X120" s="329">
        <f>ROUND((D120*E120*F120*G120*H120*J120*N120*1000000*M120/3600)*(1-W120),4)</f>
        <v>6.8999999999999999E-3</v>
      </c>
      <c r="Y120" s="329">
        <f>ROUND((D120*E120*F120*G120*H120*J120*M120*O120)*(1-W120),4)</f>
        <v>2.1899999999999999E-2</v>
      </c>
      <c r="Z120" s="9" t="s">
        <v>688</v>
      </c>
      <c r="AA120" s="9"/>
      <c r="AB120" s="9"/>
    </row>
    <row r="121" spans="1:28" ht="16.5" customHeight="1" x14ac:dyDescent="0.25">
      <c r="A121" s="895"/>
      <c r="B121" s="346" t="s">
        <v>87</v>
      </c>
      <c r="C121" s="927"/>
      <c r="D121" s="329" t="s">
        <v>55</v>
      </c>
      <c r="E121" s="329" t="s">
        <v>55</v>
      </c>
      <c r="F121" s="347">
        <v>1.4</v>
      </c>
      <c r="G121" s="329">
        <v>1</v>
      </c>
      <c r="H121" s="329">
        <v>0.01</v>
      </c>
      <c r="I121" s="329">
        <v>1.3</v>
      </c>
      <c r="J121" s="329">
        <v>0.2</v>
      </c>
      <c r="K121" s="329" t="s">
        <v>55</v>
      </c>
      <c r="L121" s="329" t="s">
        <v>55</v>
      </c>
      <c r="M121" s="329" t="s">
        <v>55</v>
      </c>
      <c r="N121" s="329" t="s">
        <v>55</v>
      </c>
      <c r="O121" s="329" t="s">
        <v>55</v>
      </c>
      <c r="P121" s="329">
        <v>2E-3</v>
      </c>
      <c r="Q121" s="329">
        <v>10000</v>
      </c>
      <c r="R121" s="329">
        <v>24</v>
      </c>
      <c r="S121" s="329">
        <v>0</v>
      </c>
      <c r="T121" s="329">
        <v>20</v>
      </c>
      <c r="U121" s="895"/>
      <c r="V121" s="895"/>
      <c r="W121" s="329">
        <v>0.85</v>
      </c>
      <c r="X121" s="329">
        <f>ROUND((F121*G121*H121*I121*J121*P121*Q121)*(1-W121),4)</f>
        <v>1.09E-2</v>
      </c>
      <c r="Y121" s="329">
        <f>ROUND((((X121*R121*(110-T121-S121)*3600)/1000000)),4)</f>
        <v>8.48E-2</v>
      </c>
      <c r="Z121" t="s">
        <v>549</v>
      </c>
      <c r="AB121"/>
    </row>
    <row r="122" spans="1:28" ht="23.25" customHeight="1" x14ac:dyDescent="0.25">
      <c r="A122" s="863"/>
      <c r="B122" s="346" t="s">
        <v>551</v>
      </c>
      <c r="C122" s="863"/>
      <c r="D122" s="329">
        <v>0.02</v>
      </c>
      <c r="E122" s="329">
        <v>0.01</v>
      </c>
      <c r="F122" s="347">
        <v>1.4</v>
      </c>
      <c r="G122" s="329">
        <v>1</v>
      </c>
      <c r="H122" s="329">
        <v>0.01</v>
      </c>
      <c r="I122" s="329" t="s">
        <v>55</v>
      </c>
      <c r="J122" s="329">
        <v>0.2</v>
      </c>
      <c r="K122" s="329" t="s">
        <v>55</v>
      </c>
      <c r="L122" s="329" t="s">
        <v>55</v>
      </c>
      <c r="M122" s="329">
        <v>0.5</v>
      </c>
      <c r="N122" s="329">
        <v>595</v>
      </c>
      <c r="O122" s="329">
        <v>520635</v>
      </c>
      <c r="P122" s="329" t="s">
        <v>55</v>
      </c>
      <c r="Q122" s="329" t="s">
        <v>55</v>
      </c>
      <c r="R122" s="329" t="s">
        <v>55</v>
      </c>
      <c r="S122" s="329" t="s">
        <v>55</v>
      </c>
      <c r="T122" s="329" t="s">
        <v>55</v>
      </c>
      <c r="U122" s="928"/>
      <c r="V122" s="928"/>
      <c r="W122" s="329">
        <v>0</v>
      </c>
      <c r="X122" s="329">
        <f>ROUND((D122*E122*F122*G122*H122*J122*N122*1000000*M122/3600)*(1-W122),4)</f>
        <v>4.6300000000000001E-2</v>
      </c>
      <c r="Y122" s="329">
        <f>ROUND((D122*E122*F122*G122*H122*J122*M122*O122)*(1-W122),4)</f>
        <v>0.14580000000000001</v>
      </c>
      <c r="Z122" s="3"/>
      <c r="AA122" s="3"/>
    </row>
    <row r="123" spans="1:28" ht="54" customHeight="1" x14ac:dyDescent="0.25">
      <c r="A123" s="886" t="s">
        <v>687</v>
      </c>
      <c r="B123" s="887"/>
      <c r="C123" s="887"/>
      <c r="D123" s="887"/>
      <c r="E123" s="887"/>
      <c r="F123" s="887"/>
      <c r="G123" s="887"/>
      <c r="H123" s="887"/>
      <c r="I123" s="887"/>
      <c r="J123" s="887"/>
      <c r="K123" s="887"/>
      <c r="L123" s="887"/>
      <c r="M123" s="887"/>
      <c r="N123" s="887"/>
      <c r="O123" s="887"/>
      <c r="P123" s="887"/>
      <c r="Q123" s="887"/>
      <c r="R123" s="887"/>
      <c r="S123" s="887"/>
      <c r="T123" s="887"/>
      <c r="U123" s="348" t="s">
        <v>93</v>
      </c>
      <c r="V123" s="348">
        <v>2908</v>
      </c>
      <c r="W123" s="348"/>
      <c r="X123" s="348">
        <f>X119+X120+X121+X122</f>
        <v>6.8699999999999997E-2</v>
      </c>
      <c r="Y123" s="348">
        <f>SUM(Y119:Y122)</f>
        <v>0.2671</v>
      </c>
      <c r="Z123" s="709">
        <f>X117+X123</f>
        <v>0.1177</v>
      </c>
      <c r="AA123" s="710">
        <f>Y117+Y123</f>
        <v>0.42059999999999997</v>
      </c>
      <c r="AB123" s="711">
        <v>2044</v>
      </c>
    </row>
    <row r="124" spans="1:28" ht="14.25" customHeight="1" x14ac:dyDescent="0.25">
      <c r="A124" s="929" t="s">
        <v>119</v>
      </c>
      <c r="B124" s="930"/>
      <c r="C124" s="930"/>
      <c r="D124" s="930"/>
      <c r="E124" s="930"/>
      <c r="F124" s="930"/>
      <c r="G124" s="930"/>
      <c r="H124" s="930"/>
      <c r="I124" s="930"/>
      <c r="J124" s="930"/>
      <c r="K124" s="930"/>
      <c r="L124" s="930"/>
      <c r="M124" s="930"/>
      <c r="N124" s="930"/>
      <c r="O124" s="930"/>
      <c r="P124" s="930"/>
      <c r="Q124" s="930"/>
      <c r="R124" s="930"/>
      <c r="S124" s="930"/>
      <c r="T124" s="930"/>
      <c r="U124" s="930"/>
      <c r="V124" s="930"/>
      <c r="W124" s="930"/>
      <c r="X124" s="930"/>
      <c r="Y124" s="931"/>
      <c r="Z124" s="696"/>
      <c r="AA124" s="696"/>
    </row>
    <row r="125" spans="1:28" ht="14.25" customHeight="1" x14ac:dyDescent="0.25">
      <c r="A125" s="932" t="s">
        <v>689</v>
      </c>
      <c r="B125" s="933"/>
      <c r="C125" s="933"/>
      <c r="D125" s="933"/>
      <c r="E125" s="933"/>
      <c r="F125" s="933"/>
      <c r="G125" s="933"/>
      <c r="H125" s="933"/>
      <c r="I125" s="933"/>
      <c r="J125" s="933"/>
      <c r="K125" s="933"/>
      <c r="L125" s="933"/>
      <c r="M125" s="933"/>
      <c r="N125" s="933"/>
      <c r="O125" s="933"/>
      <c r="P125" s="933"/>
      <c r="Q125" s="933"/>
      <c r="R125" s="933"/>
      <c r="S125" s="933"/>
      <c r="T125" s="933"/>
      <c r="U125" s="933"/>
      <c r="V125" s="933"/>
      <c r="W125" s="933"/>
      <c r="X125" s="933"/>
      <c r="Y125" s="934"/>
      <c r="Z125" s="3"/>
      <c r="AA125" s="3"/>
    </row>
    <row r="126" spans="1:28" ht="23.25" customHeight="1" x14ac:dyDescent="0.25">
      <c r="A126" s="894">
        <v>8032</v>
      </c>
      <c r="B126" s="346" t="s">
        <v>88</v>
      </c>
      <c r="C126" s="894" t="s">
        <v>682</v>
      </c>
      <c r="D126" s="329">
        <v>0.02</v>
      </c>
      <c r="E126" s="329">
        <v>0.01</v>
      </c>
      <c r="F126" s="347">
        <v>1.4</v>
      </c>
      <c r="G126" s="329">
        <v>1</v>
      </c>
      <c r="H126" s="329">
        <v>0.01</v>
      </c>
      <c r="I126" s="329" t="s">
        <v>55</v>
      </c>
      <c r="J126" s="329">
        <v>0.2</v>
      </c>
      <c r="K126" s="329">
        <v>1</v>
      </c>
      <c r="L126" s="329">
        <v>0.1</v>
      </c>
      <c r="M126" s="329">
        <v>0.5</v>
      </c>
      <c r="N126" s="329">
        <v>1700</v>
      </c>
      <c r="O126" s="329">
        <v>1612065</v>
      </c>
      <c r="P126" s="329" t="s">
        <v>55</v>
      </c>
      <c r="Q126" s="329" t="s">
        <v>55</v>
      </c>
      <c r="R126" s="329" t="s">
        <v>55</v>
      </c>
      <c r="S126" s="329" t="s">
        <v>55</v>
      </c>
      <c r="T126" s="329" t="s">
        <v>55</v>
      </c>
      <c r="U126" s="894" t="s">
        <v>93</v>
      </c>
      <c r="V126" s="894">
        <v>2908</v>
      </c>
      <c r="W126" s="329">
        <v>0</v>
      </c>
      <c r="X126" s="329">
        <f>ROUND((D126*E126*F126*G126*H126*J126*K126*L126*N126*1000000*M126/3600)*(1-W126),4)</f>
        <v>1.32E-2</v>
      </c>
      <c r="Y126" s="329">
        <f>ROUND((D126*E126*F126*G126*H126*J126*K126*L126*M126*O126)*(1-W126),4)</f>
        <v>4.5100000000000001E-2</v>
      </c>
      <c r="Z126" s="3"/>
      <c r="AA126" s="3"/>
    </row>
    <row r="127" spans="1:28" ht="35.25" customHeight="1" x14ac:dyDescent="0.25">
      <c r="A127" s="895"/>
      <c r="B127" s="346" t="s">
        <v>552</v>
      </c>
      <c r="C127" s="927"/>
      <c r="D127" s="329">
        <v>0.02</v>
      </c>
      <c r="E127" s="329">
        <v>0.01</v>
      </c>
      <c r="F127" s="347">
        <v>1.4</v>
      </c>
      <c r="G127" s="329">
        <v>1</v>
      </c>
      <c r="H127" s="329">
        <v>0.01</v>
      </c>
      <c r="I127" s="329" t="s">
        <v>55</v>
      </c>
      <c r="J127" s="329">
        <v>0.2</v>
      </c>
      <c r="K127" s="329" t="s">
        <v>55</v>
      </c>
      <c r="L127" s="329" t="s">
        <v>55</v>
      </c>
      <c r="M127" s="329">
        <v>0.5</v>
      </c>
      <c r="N127" s="329">
        <v>1700</v>
      </c>
      <c r="O127" s="329">
        <v>1612065</v>
      </c>
      <c r="P127" s="329" t="s">
        <v>55</v>
      </c>
      <c r="Q127" s="329" t="s">
        <v>55</v>
      </c>
      <c r="R127" s="329" t="s">
        <v>55</v>
      </c>
      <c r="S127" s="329" t="s">
        <v>55</v>
      </c>
      <c r="T127" s="329" t="s">
        <v>55</v>
      </c>
      <c r="U127" s="895"/>
      <c r="V127" s="895"/>
      <c r="W127" s="329">
        <v>0.85</v>
      </c>
      <c r="X127" s="329">
        <f>ROUND((D127*E127*F127*G127*H127*J127*N127*1000000*M127/3600)*(1-W127),4)</f>
        <v>1.9800000000000002E-2</v>
      </c>
      <c r="Y127" s="329">
        <f>ROUND((D127*E127*F127*G127*H127*J127*M127*O127)*(1-W127),4)</f>
        <v>6.7699999999999996E-2</v>
      </c>
      <c r="Z127" s="9" t="s">
        <v>688</v>
      </c>
      <c r="AA127" s="9"/>
      <c r="AB127" s="9"/>
    </row>
    <row r="128" spans="1:28" ht="12.75" customHeight="1" x14ac:dyDescent="0.25">
      <c r="A128" s="895"/>
      <c r="B128" s="346" t="s">
        <v>87</v>
      </c>
      <c r="C128" s="927"/>
      <c r="D128" s="329" t="s">
        <v>55</v>
      </c>
      <c r="E128" s="329" t="s">
        <v>55</v>
      </c>
      <c r="F128" s="347">
        <v>1.4</v>
      </c>
      <c r="G128" s="329">
        <v>1</v>
      </c>
      <c r="H128" s="329">
        <v>0.01</v>
      </c>
      <c r="I128" s="329">
        <v>1.3</v>
      </c>
      <c r="J128" s="329">
        <v>0.2</v>
      </c>
      <c r="K128" s="329" t="s">
        <v>55</v>
      </c>
      <c r="L128" s="329" t="s">
        <v>55</v>
      </c>
      <c r="M128" s="329" t="s">
        <v>55</v>
      </c>
      <c r="N128" s="329" t="s">
        <v>55</v>
      </c>
      <c r="O128" s="329" t="s">
        <v>55</v>
      </c>
      <c r="P128" s="329">
        <v>2E-3</v>
      </c>
      <c r="Q128" s="329">
        <v>20000</v>
      </c>
      <c r="R128" s="329">
        <v>24</v>
      </c>
      <c r="S128" s="329">
        <v>0</v>
      </c>
      <c r="T128" s="329">
        <v>20</v>
      </c>
      <c r="U128" s="895"/>
      <c r="V128" s="895"/>
      <c r="W128" s="329">
        <v>0.85</v>
      </c>
      <c r="X128" s="329">
        <f>ROUND((F128*G128*H128*I128*J128*P128*Q128)*(1-W128),4)</f>
        <v>2.18E-2</v>
      </c>
      <c r="Y128" s="329">
        <f>ROUND((((X128*R128*(110-T128-S128)*3600)/1000000)),4)</f>
        <v>0.16950000000000001</v>
      </c>
      <c r="Z128" t="s">
        <v>549</v>
      </c>
      <c r="AB128"/>
    </row>
    <row r="129" spans="1:28" ht="25.5" customHeight="1" x14ac:dyDescent="0.25">
      <c r="A129" s="863"/>
      <c r="B129" s="346" t="s">
        <v>551</v>
      </c>
      <c r="C129" s="863"/>
      <c r="D129" s="329">
        <v>0.02</v>
      </c>
      <c r="E129" s="329">
        <v>0.01</v>
      </c>
      <c r="F129" s="347">
        <v>1.4</v>
      </c>
      <c r="G129" s="329">
        <v>1</v>
      </c>
      <c r="H129" s="329">
        <v>0.01</v>
      </c>
      <c r="I129" s="329" t="s">
        <v>55</v>
      </c>
      <c r="J129" s="329">
        <v>0.2</v>
      </c>
      <c r="K129" s="329" t="s">
        <v>55</v>
      </c>
      <c r="L129" s="329" t="s">
        <v>55</v>
      </c>
      <c r="M129" s="329">
        <v>0.5</v>
      </c>
      <c r="N129" s="329">
        <v>1700</v>
      </c>
      <c r="O129" s="329">
        <v>1612065</v>
      </c>
      <c r="P129" s="329" t="s">
        <v>55</v>
      </c>
      <c r="Q129" s="329" t="s">
        <v>55</v>
      </c>
      <c r="R129" s="329" t="s">
        <v>55</v>
      </c>
      <c r="S129" s="329" t="s">
        <v>55</v>
      </c>
      <c r="T129" s="329" t="s">
        <v>55</v>
      </c>
      <c r="U129" s="928"/>
      <c r="V129" s="928"/>
      <c r="W129" s="329">
        <v>0</v>
      </c>
      <c r="X129" s="329">
        <f>ROUND((D129*E129*F129*G129*H129*J129*N129*1000000*M129/3600)*(1-W129),4)</f>
        <v>0.13220000000000001</v>
      </c>
      <c r="Y129" s="329">
        <f>ROUND((D129*E129*F129*G129*H129*J129*M129*O129)*(1-W129),4)</f>
        <v>0.45140000000000002</v>
      </c>
      <c r="Z129" s="3"/>
      <c r="AA129" s="3"/>
    </row>
    <row r="130" spans="1:28" ht="54" customHeight="1" x14ac:dyDescent="0.25">
      <c r="A130" s="886" t="s">
        <v>690</v>
      </c>
      <c r="B130" s="887"/>
      <c r="C130" s="887"/>
      <c r="D130" s="887"/>
      <c r="E130" s="887"/>
      <c r="F130" s="887"/>
      <c r="G130" s="887"/>
      <c r="H130" s="887"/>
      <c r="I130" s="887"/>
      <c r="J130" s="887"/>
      <c r="K130" s="887"/>
      <c r="L130" s="887"/>
      <c r="M130" s="887"/>
      <c r="N130" s="887"/>
      <c r="O130" s="887"/>
      <c r="P130" s="887"/>
      <c r="Q130" s="887"/>
      <c r="R130" s="887"/>
      <c r="S130" s="887"/>
      <c r="T130" s="887"/>
      <c r="U130" s="348" t="s">
        <v>93</v>
      </c>
      <c r="V130" s="348">
        <v>2908</v>
      </c>
      <c r="W130" s="348"/>
      <c r="X130" s="348">
        <f>X126+X127+X128+X129</f>
        <v>0.187</v>
      </c>
      <c r="Y130" s="348">
        <f>SUM(Y126:Y129)</f>
        <v>0.73370000000000002</v>
      </c>
      <c r="Z130" s="709">
        <f>X130</f>
        <v>0.187</v>
      </c>
      <c r="AA130" s="710">
        <f>Y130</f>
        <v>0.73370000000000002</v>
      </c>
      <c r="AB130" s="711">
        <v>2048</v>
      </c>
    </row>
    <row r="131" spans="1:28" ht="14.25" customHeight="1" x14ac:dyDescent="0.25">
      <c r="A131" s="929" t="s">
        <v>121</v>
      </c>
      <c r="B131" s="930"/>
      <c r="C131" s="930"/>
      <c r="D131" s="930"/>
      <c r="E131" s="930"/>
      <c r="F131" s="930"/>
      <c r="G131" s="930"/>
      <c r="H131" s="930"/>
      <c r="I131" s="930"/>
      <c r="J131" s="930"/>
      <c r="K131" s="930"/>
      <c r="L131" s="930"/>
      <c r="M131" s="930"/>
      <c r="N131" s="930"/>
      <c r="O131" s="930"/>
      <c r="P131" s="930"/>
      <c r="Q131" s="930"/>
      <c r="R131" s="930"/>
      <c r="S131" s="930"/>
      <c r="T131" s="930"/>
      <c r="U131" s="930"/>
      <c r="V131" s="930"/>
      <c r="W131" s="930"/>
      <c r="X131" s="930"/>
      <c r="Y131" s="931"/>
      <c r="Z131" s="696"/>
      <c r="AA131" s="696"/>
    </row>
    <row r="132" spans="1:28" ht="14.25" customHeight="1" x14ac:dyDescent="0.25">
      <c r="A132" s="932" t="s">
        <v>689</v>
      </c>
      <c r="B132" s="933"/>
      <c r="C132" s="933"/>
      <c r="D132" s="933"/>
      <c r="E132" s="933"/>
      <c r="F132" s="933"/>
      <c r="G132" s="933"/>
      <c r="H132" s="933"/>
      <c r="I132" s="933"/>
      <c r="J132" s="933"/>
      <c r="K132" s="933"/>
      <c r="L132" s="933"/>
      <c r="M132" s="933"/>
      <c r="N132" s="933"/>
      <c r="O132" s="933"/>
      <c r="P132" s="933"/>
      <c r="Q132" s="933"/>
      <c r="R132" s="933"/>
      <c r="S132" s="933"/>
      <c r="T132" s="933"/>
      <c r="U132" s="933"/>
      <c r="V132" s="933"/>
      <c r="W132" s="933"/>
      <c r="X132" s="933"/>
      <c r="Y132" s="934"/>
      <c r="Z132" s="3"/>
      <c r="AA132" s="3"/>
    </row>
    <row r="133" spans="1:28" ht="26.25" customHeight="1" x14ac:dyDescent="0.25">
      <c r="A133" s="894">
        <v>8032</v>
      </c>
      <c r="B133" s="346" t="s">
        <v>88</v>
      </c>
      <c r="C133" s="894" t="s">
        <v>682</v>
      </c>
      <c r="D133" s="329">
        <v>0.02</v>
      </c>
      <c r="E133" s="329">
        <v>0.01</v>
      </c>
      <c r="F133" s="347">
        <v>1.4</v>
      </c>
      <c r="G133" s="329">
        <v>1</v>
      </c>
      <c r="H133" s="329">
        <v>0.01</v>
      </c>
      <c r="I133" s="329" t="s">
        <v>55</v>
      </c>
      <c r="J133" s="329">
        <v>0.2</v>
      </c>
      <c r="K133" s="329">
        <v>1</v>
      </c>
      <c r="L133" s="329">
        <v>0.1</v>
      </c>
      <c r="M133" s="329">
        <v>0.5</v>
      </c>
      <c r="N133" s="329">
        <v>1190</v>
      </c>
      <c r="O133" s="329">
        <v>1612065</v>
      </c>
      <c r="P133" s="329" t="s">
        <v>55</v>
      </c>
      <c r="Q133" s="329" t="s">
        <v>55</v>
      </c>
      <c r="R133" s="329" t="s">
        <v>55</v>
      </c>
      <c r="S133" s="329" t="s">
        <v>55</v>
      </c>
      <c r="T133" s="329" t="s">
        <v>55</v>
      </c>
      <c r="U133" s="894" t="s">
        <v>93</v>
      </c>
      <c r="V133" s="894">
        <v>2908</v>
      </c>
      <c r="W133" s="329">
        <v>0</v>
      </c>
      <c r="X133" s="329">
        <f>ROUND((D133*E133*F133*G133*H133*J133*K133*L133*N133*1000000*M133/3600)*(1-W133),4)</f>
        <v>9.2999999999999992E-3</v>
      </c>
      <c r="Y133" s="329">
        <f>ROUND((D133*E133*F133*G133*H133*J133*K133*L133*M133*O133)*(1-W133),4)</f>
        <v>4.5100000000000001E-2</v>
      </c>
      <c r="Z133" s="3"/>
      <c r="AA133" s="3"/>
    </row>
    <row r="134" spans="1:28" ht="35.25" customHeight="1" x14ac:dyDescent="0.25">
      <c r="A134" s="895"/>
      <c r="B134" s="346" t="s">
        <v>552</v>
      </c>
      <c r="C134" s="927"/>
      <c r="D134" s="329">
        <v>0.02</v>
      </c>
      <c r="E134" s="329">
        <v>0.01</v>
      </c>
      <c r="F134" s="347">
        <v>1.4</v>
      </c>
      <c r="G134" s="329">
        <v>1</v>
      </c>
      <c r="H134" s="329">
        <v>0.01</v>
      </c>
      <c r="I134" s="329" t="s">
        <v>55</v>
      </c>
      <c r="J134" s="329">
        <v>0.2</v>
      </c>
      <c r="K134" s="329" t="s">
        <v>55</v>
      </c>
      <c r="L134" s="329" t="s">
        <v>55</v>
      </c>
      <c r="M134" s="329">
        <v>0.5</v>
      </c>
      <c r="N134" s="329">
        <v>1190</v>
      </c>
      <c r="O134" s="329">
        <v>1612065</v>
      </c>
      <c r="P134" s="329" t="s">
        <v>55</v>
      </c>
      <c r="Q134" s="329" t="s">
        <v>55</v>
      </c>
      <c r="R134" s="329" t="s">
        <v>55</v>
      </c>
      <c r="S134" s="329" t="s">
        <v>55</v>
      </c>
      <c r="T134" s="329" t="s">
        <v>55</v>
      </c>
      <c r="U134" s="895"/>
      <c r="V134" s="895"/>
      <c r="W134" s="329">
        <v>0.85</v>
      </c>
      <c r="X134" s="329">
        <f>ROUND((D134*E134*F134*G134*H134*J134*N134*1000000*M134/3600)*(1-W134),4)</f>
        <v>1.3899999999999999E-2</v>
      </c>
      <c r="Y134" s="329">
        <f>ROUND((D134*E134*F134*G134*H134*J134*M134*O134)*(1-W134),4)</f>
        <v>6.7699999999999996E-2</v>
      </c>
      <c r="Z134" s="9" t="s">
        <v>688</v>
      </c>
      <c r="AA134" s="9"/>
      <c r="AB134" s="9"/>
    </row>
    <row r="135" spans="1:28" ht="15" customHeight="1" x14ac:dyDescent="0.25">
      <c r="A135" s="895"/>
      <c r="B135" s="346" t="s">
        <v>87</v>
      </c>
      <c r="C135" s="927"/>
      <c r="D135" s="329" t="s">
        <v>55</v>
      </c>
      <c r="E135" s="329" t="s">
        <v>55</v>
      </c>
      <c r="F135" s="347">
        <v>1.4</v>
      </c>
      <c r="G135" s="329">
        <v>1</v>
      </c>
      <c r="H135" s="329">
        <v>0.01</v>
      </c>
      <c r="I135" s="329">
        <v>1.3</v>
      </c>
      <c r="J135" s="329">
        <v>0.2</v>
      </c>
      <c r="K135" s="329" t="s">
        <v>55</v>
      </c>
      <c r="L135" s="329" t="s">
        <v>55</v>
      </c>
      <c r="M135" s="329" t="s">
        <v>55</v>
      </c>
      <c r="N135" s="329" t="s">
        <v>55</v>
      </c>
      <c r="O135" s="329" t="s">
        <v>55</v>
      </c>
      <c r="P135" s="329">
        <v>2E-3</v>
      </c>
      <c r="Q135" s="329">
        <v>20000</v>
      </c>
      <c r="R135" s="329">
        <v>24</v>
      </c>
      <c r="S135" s="329">
        <v>0</v>
      </c>
      <c r="T135" s="329">
        <v>20</v>
      </c>
      <c r="U135" s="895"/>
      <c r="V135" s="895"/>
      <c r="W135" s="329">
        <v>0.85</v>
      </c>
      <c r="X135" s="329">
        <f>ROUND((F135*G135*H135*I135*J135*P135*Q135)*(1-W135),4)</f>
        <v>2.18E-2</v>
      </c>
      <c r="Y135" s="329">
        <f>ROUND((((X135*R135*(110-T135-S135)*3600)/1000000)),4)</f>
        <v>0.16950000000000001</v>
      </c>
      <c r="Z135" t="s">
        <v>549</v>
      </c>
      <c r="AB135"/>
    </row>
    <row r="136" spans="1:28" ht="21.75" customHeight="1" x14ac:dyDescent="0.25">
      <c r="A136" s="863"/>
      <c r="B136" s="346" t="s">
        <v>551</v>
      </c>
      <c r="C136" s="863"/>
      <c r="D136" s="329">
        <v>0.02</v>
      </c>
      <c r="E136" s="329">
        <v>0.01</v>
      </c>
      <c r="F136" s="347">
        <v>1.4</v>
      </c>
      <c r="G136" s="329">
        <v>1</v>
      </c>
      <c r="H136" s="329">
        <v>0.01</v>
      </c>
      <c r="I136" s="329" t="s">
        <v>55</v>
      </c>
      <c r="J136" s="329">
        <v>0.2</v>
      </c>
      <c r="K136" s="329" t="s">
        <v>55</v>
      </c>
      <c r="L136" s="329" t="s">
        <v>55</v>
      </c>
      <c r="M136" s="329">
        <v>0.5</v>
      </c>
      <c r="N136" s="329">
        <v>1190</v>
      </c>
      <c r="O136" s="329">
        <v>1612065</v>
      </c>
      <c r="P136" s="329" t="s">
        <v>55</v>
      </c>
      <c r="Q136" s="329" t="s">
        <v>55</v>
      </c>
      <c r="R136" s="329" t="s">
        <v>55</v>
      </c>
      <c r="S136" s="329" t="s">
        <v>55</v>
      </c>
      <c r="T136" s="329" t="s">
        <v>55</v>
      </c>
      <c r="U136" s="928"/>
      <c r="V136" s="928"/>
      <c r="W136" s="329">
        <v>0</v>
      </c>
      <c r="X136" s="329">
        <f>ROUND((D136*E136*F136*G136*H136*J136*N136*1000000*M136/3600)*(1-W136),4)</f>
        <v>9.2600000000000002E-2</v>
      </c>
      <c r="Y136" s="329">
        <f>ROUND((D136*E136*F136*G136*H136*J136*M136*O136)*(1-W136),4)</f>
        <v>0.45140000000000002</v>
      </c>
      <c r="Z136" s="3"/>
      <c r="AA136" s="3"/>
    </row>
    <row r="137" spans="1:28" ht="54" customHeight="1" x14ac:dyDescent="0.25">
      <c r="A137" s="886" t="s">
        <v>690</v>
      </c>
      <c r="B137" s="887"/>
      <c r="C137" s="887"/>
      <c r="D137" s="887"/>
      <c r="E137" s="887"/>
      <c r="F137" s="887"/>
      <c r="G137" s="887"/>
      <c r="H137" s="887"/>
      <c r="I137" s="887"/>
      <c r="J137" s="887"/>
      <c r="K137" s="887"/>
      <c r="L137" s="887"/>
      <c r="M137" s="887"/>
      <c r="N137" s="887"/>
      <c r="O137" s="887"/>
      <c r="P137" s="887"/>
      <c r="Q137" s="887"/>
      <c r="R137" s="887"/>
      <c r="S137" s="887"/>
      <c r="T137" s="887"/>
      <c r="U137" s="348" t="s">
        <v>93</v>
      </c>
      <c r="V137" s="348">
        <v>2908</v>
      </c>
      <c r="W137" s="348"/>
      <c r="X137" s="348">
        <f>X133+X134+X135+X136</f>
        <v>0.1376</v>
      </c>
      <c r="Y137" s="348">
        <f>SUM(Y133:Y136)</f>
        <v>0.73370000000000002</v>
      </c>
      <c r="Z137" s="709">
        <f>X137</f>
        <v>0.1376</v>
      </c>
      <c r="AA137" s="710">
        <f>Y137</f>
        <v>0.73370000000000002</v>
      </c>
      <c r="AB137" s="711">
        <v>2049</v>
      </c>
    </row>
    <row r="138" spans="1:28" ht="11.25" customHeight="1" x14ac:dyDescent="0.25">
      <c r="A138" s="929" t="s">
        <v>122</v>
      </c>
      <c r="B138" s="930"/>
      <c r="C138" s="930"/>
      <c r="D138" s="930"/>
      <c r="E138" s="930"/>
      <c r="F138" s="930"/>
      <c r="G138" s="930"/>
      <c r="H138" s="930"/>
      <c r="I138" s="930"/>
      <c r="J138" s="930"/>
      <c r="K138" s="930"/>
      <c r="L138" s="930"/>
      <c r="M138" s="930"/>
      <c r="N138" s="930"/>
      <c r="O138" s="930"/>
      <c r="P138" s="930"/>
      <c r="Q138" s="930"/>
      <c r="R138" s="930"/>
      <c r="S138" s="930"/>
      <c r="T138" s="930"/>
      <c r="U138" s="930"/>
      <c r="V138" s="930"/>
      <c r="W138" s="930"/>
      <c r="X138" s="930"/>
      <c r="Y138" s="931"/>
    </row>
    <row r="139" spans="1:28" x14ac:dyDescent="0.25">
      <c r="A139" s="932" t="s">
        <v>547</v>
      </c>
      <c r="B139" s="933"/>
      <c r="C139" s="933"/>
      <c r="D139" s="933"/>
      <c r="E139" s="933"/>
      <c r="F139" s="933"/>
      <c r="G139" s="933"/>
      <c r="H139" s="933"/>
      <c r="I139" s="933"/>
      <c r="J139" s="933"/>
      <c r="K139" s="933"/>
      <c r="L139" s="933"/>
      <c r="M139" s="933"/>
      <c r="N139" s="933"/>
      <c r="O139" s="933"/>
      <c r="P139" s="933"/>
      <c r="Q139" s="933"/>
      <c r="R139" s="933"/>
      <c r="S139" s="933"/>
      <c r="T139" s="933"/>
      <c r="U139" s="933"/>
      <c r="V139" s="933"/>
      <c r="W139" s="933"/>
      <c r="X139" s="933"/>
      <c r="Y139" s="934"/>
    </row>
    <row r="140" spans="1:28" ht="24" x14ac:dyDescent="0.25">
      <c r="A140" s="894">
        <v>8027</v>
      </c>
      <c r="B140" s="346" t="s">
        <v>88</v>
      </c>
      <c r="C140" s="894" t="s">
        <v>279</v>
      </c>
      <c r="D140" s="329">
        <v>0.02</v>
      </c>
      <c r="E140" s="329">
        <v>0.01</v>
      </c>
      <c r="F140" s="347">
        <v>1.4</v>
      </c>
      <c r="G140" s="329">
        <v>1</v>
      </c>
      <c r="H140" s="329">
        <v>0.01</v>
      </c>
      <c r="I140" s="329" t="s">
        <v>55</v>
      </c>
      <c r="J140" s="329">
        <v>0.4</v>
      </c>
      <c r="K140" s="329">
        <v>1</v>
      </c>
      <c r="L140" s="329">
        <v>0.1</v>
      </c>
      <c r="M140" s="329">
        <v>0.5</v>
      </c>
      <c r="N140" s="329">
        <v>168</v>
      </c>
      <c r="O140" s="329">
        <v>99210</v>
      </c>
      <c r="P140" s="329" t="s">
        <v>55</v>
      </c>
      <c r="Q140" s="329" t="s">
        <v>55</v>
      </c>
      <c r="R140" s="329" t="s">
        <v>55</v>
      </c>
      <c r="S140" s="329" t="s">
        <v>55</v>
      </c>
      <c r="T140" s="329" t="s">
        <v>55</v>
      </c>
      <c r="U140" s="894" t="s">
        <v>93</v>
      </c>
      <c r="V140" s="894">
        <v>2908</v>
      </c>
      <c r="W140" s="329">
        <v>0</v>
      </c>
      <c r="X140" s="329">
        <f>ROUND((D140*E140*F140*G140*H140*J140*K140*L140*N140*1000000*M140/3600)*(1-W140),4)</f>
        <v>2.5999999999999999E-3</v>
      </c>
      <c r="Y140" s="329">
        <f>ROUND((D140*E140*F140*G140*H140*J140*K140*L140*M140*O140)*(1-W140),4)</f>
        <v>5.5999999999999999E-3</v>
      </c>
    </row>
    <row r="141" spans="1:28" ht="36" x14ac:dyDescent="0.25">
      <c r="A141" s="895"/>
      <c r="B141" s="346" t="s">
        <v>552</v>
      </c>
      <c r="C141" s="927"/>
      <c r="D141" s="329">
        <v>0.02</v>
      </c>
      <c r="E141" s="329">
        <v>0.01</v>
      </c>
      <c r="F141" s="347">
        <v>1.4</v>
      </c>
      <c r="G141" s="329">
        <v>1</v>
      </c>
      <c r="H141" s="329">
        <v>0.01</v>
      </c>
      <c r="I141" s="329" t="s">
        <v>55</v>
      </c>
      <c r="J141" s="329">
        <v>0.4</v>
      </c>
      <c r="K141" s="329" t="s">
        <v>55</v>
      </c>
      <c r="L141" s="329" t="s">
        <v>55</v>
      </c>
      <c r="M141" s="329">
        <v>0.5</v>
      </c>
      <c r="N141" s="329">
        <v>168</v>
      </c>
      <c r="O141" s="329">
        <v>99210</v>
      </c>
      <c r="P141" s="329" t="s">
        <v>55</v>
      </c>
      <c r="Q141" s="329" t="s">
        <v>55</v>
      </c>
      <c r="R141" s="329" t="s">
        <v>55</v>
      </c>
      <c r="S141" s="329" t="s">
        <v>55</v>
      </c>
      <c r="T141" s="329" t="s">
        <v>55</v>
      </c>
      <c r="U141" s="895"/>
      <c r="V141" s="895"/>
      <c r="W141" s="329">
        <v>0.85</v>
      </c>
      <c r="X141" s="329">
        <f>ROUND((D141*E141*F141*G141*H141*J141*N141*1000000*M141/3600)*(1-W141),4)</f>
        <v>3.8999999999999998E-3</v>
      </c>
      <c r="Y141" s="329">
        <f>ROUND((D141*E141*F141*G141*H141*J141*M141*O141)*(1-W141),4)</f>
        <v>8.3000000000000001E-3</v>
      </c>
    </row>
    <row r="142" spans="1:28" x14ac:dyDescent="0.25">
      <c r="A142" s="895"/>
      <c r="B142" s="346" t="s">
        <v>87</v>
      </c>
      <c r="C142" s="927"/>
      <c r="D142" s="329" t="s">
        <v>55</v>
      </c>
      <c r="E142" s="329" t="s">
        <v>55</v>
      </c>
      <c r="F142" s="347">
        <v>1.4</v>
      </c>
      <c r="G142" s="329">
        <v>1</v>
      </c>
      <c r="H142" s="329">
        <v>0.01</v>
      </c>
      <c r="I142" s="329">
        <v>1.3</v>
      </c>
      <c r="J142" s="329">
        <v>0.4</v>
      </c>
      <c r="K142" s="329" t="s">
        <v>55</v>
      </c>
      <c r="L142" s="329" t="s">
        <v>55</v>
      </c>
      <c r="M142" s="329" t="s">
        <v>55</v>
      </c>
      <c r="N142" s="329" t="s">
        <v>55</v>
      </c>
      <c r="O142" s="329" t="s">
        <v>55</v>
      </c>
      <c r="P142" s="329">
        <v>2E-3</v>
      </c>
      <c r="Q142" s="329">
        <v>5000</v>
      </c>
      <c r="R142" s="329">
        <v>24</v>
      </c>
      <c r="S142" s="329">
        <v>0</v>
      </c>
      <c r="T142" s="329">
        <v>25</v>
      </c>
      <c r="U142" s="895"/>
      <c r="V142" s="895"/>
      <c r="W142" s="329">
        <v>0.85</v>
      </c>
      <c r="X142" s="329">
        <f>ROUND((F142*G142*H142*I142*J142*P142*Q142)*(1-W142),4)</f>
        <v>1.09E-2</v>
      </c>
      <c r="Y142" s="329">
        <f>ROUND((((X142*R142*(110-T142-S142)*3600)/1000000)),4)</f>
        <v>0.08</v>
      </c>
    </row>
    <row r="143" spans="1:28" ht="24" x14ac:dyDescent="0.25">
      <c r="A143" s="863"/>
      <c r="B143" s="346" t="s">
        <v>551</v>
      </c>
      <c r="C143" s="863"/>
      <c r="D143" s="329">
        <v>0.02</v>
      </c>
      <c r="E143" s="329">
        <v>0.01</v>
      </c>
      <c r="F143" s="347">
        <v>1.4</v>
      </c>
      <c r="G143" s="329">
        <v>1</v>
      </c>
      <c r="H143" s="329">
        <v>0.01</v>
      </c>
      <c r="I143" s="329" t="s">
        <v>55</v>
      </c>
      <c r="J143" s="329">
        <v>0.4</v>
      </c>
      <c r="K143" s="329" t="s">
        <v>55</v>
      </c>
      <c r="L143" s="329" t="s">
        <v>55</v>
      </c>
      <c r="M143" s="329">
        <v>0.5</v>
      </c>
      <c r="N143" s="329">
        <v>168</v>
      </c>
      <c r="O143" s="329">
        <v>99210</v>
      </c>
      <c r="P143" s="329" t="s">
        <v>55</v>
      </c>
      <c r="Q143" s="329" t="s">
        <v>55</v>
      </c>
      <c r="R143" s="329" t="s">
        <v>55</v>
      </c>
      <c r="S143" s="329" t="s">
        <v>55</v>
      </c>
      <c r="T143" s="329" t="s">
        <v>55</v>
      </c>
      <c r="U143" s="928"/>
      <c r="V143" s="928"/>
      <c r="W143" s="329">
        <v>0</v>
      </c>
      <c r="X143" s="329">
        <f>ROUND((D143*E143*F143*G143*H143*J143*N143*1000000*M143/3600)*(1-W143),4)</f>
        <v>2.6100000000000002E-2</v>
      </c>
      <c r="Y143" s="329">
        <f>ROUND((D143*E143*F143*G143*H143*J143*M143*O143)*(1-W143),4)</f>
        <v>5.5599999999999997E-2</v>
      </c>
    </row>
    <row r="144" spans="1:28" ht="45.75" customHeight="1" x14ac:dyDescent="0.25">
      <c r="A144" s="886" t="s">
        <v>548</v>
      </c>
      <c r="B144" s="887"/>
      <c r="C144" s="887"/>
      <c r="D144" s="887"/>
      <c r="E144" s="887"/>
      <c r="F144" s="887"/>
      <c r="G144" s="887"/>
      <c r="H144" s="887"/>
      <c r="I144" s="887"/>
      <c r="J144" s="887"/>
      <c r="K144" s="887"/>
      <c r="L144" s="887"/>
      <c r="M144" s="887"/>
      <c r="N144" s="887"/>
      <c r="O144" s="887"/>
      <c r="P144" s="887"/>
      <c r="Q144" s="887"/>
      <c r="R144" s="887"/>
      <c r="S144" s="887"/>
      <c r="T144" s="887"/>
      <c r="U144" s="348" t="s">
        <v>93</v>
      </c>
      <c r="V144" s="348">
        <v>2908</v>
      </c>
      <c r="W144" s="348"/>
      <c r="X144" s="348">
        <f>X140+X141+X142+X143</f>
        <v>4.3499999999999997E-2</v>
      </c>
      <c r="Y144" s="348">
        <f>SUM(Y140:Y143)</f>
        <v>0.14949999999999999</v>
      </c>
      <c r="Z144" s="234"/>
      <c r="AA144" s="234"/>
    </row>
    <row r="145" spans="1:28" ht="14.25" customHeight="1" x14ac:dyDescent="0.25">
      <c r="A145" s="932" t="s">
        <v>689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933"/>
      <c r="O145" s="933"/>
      <c r="P145" s="933"/>
      <c r="Q145" s="933"/>
      <c r="R145" s="933"/>
      <c r="S145" s="933"/>
      <c r="T145" s="933"/>
      <c r="U145" s="933"/>
      <c r="V145" s="933"/>
      <c r="W145" s="933"/>
      <c r="X145" s="933"/>
      <c r="Y145" s="934"/>
      <c r="Z145" s="3"/>
      <c r="AA145" s="3"/>
    </row>
    <row r="146" spans="1:28" ht="22.5" customHeight="1" x14ac:dyDescent="0.25">
      <c r="A146" s="894">
        <v>8032</v>
      </c>
      <c r="B146" s="346" t="s">
        <v>88</v>
      </c>
      <c r="C146" s="894" t="s">
        <v>682</v>
      </c>
      <c r="D146" s="329">
        <v>0.02</v>
      </c>
      <c r="E146" s="329">
        <v>0.01</v>
      </c>
      <c r="F146" s="347">
        <v>1.4</v>
      </c>
      <c r="G146" s="329">
        <v>1</v>
      </c>
      <c r="H146" s="329">
        <v>0.01</v>
      </c>
      <c r="I146" s="329" t="s">
        <v>55</v>
      </c>
      <c r="J146" s="329">
        <v>0.2</v>
      </c>
      <c r="K146" s="329">
        <v>1</v>
      </c>
      <c r="L146" s="329">
        <v>0.1</v>
      </c>
      <c r="M146" s="329">
        <v>0.5</v>
      </c>
      <c r="N146" s="329">
        <v>1190</v>
      </c>
      <c r="O146" s="329">
        <v>1181932</v>
      </c>
      <c r="P146" s="329" t="s">
        <v>55</v>
      </c>
      <c r="Q146" s="329" t="s">
        <v>55</v>
      </c>
      <c r="R146" s="329" t="s">
        <v>55</v>
      </c>
      <c r="S146" s="329" t="s">
        <v>55</v>
      </c>
      <c r="T146" s="329" t="s">
        <v>55</v>
      </c>
      <c r="U146" s="894" t="s">
        <v>93</v>
      </c>
      <c r="V146" s="894">
        <v>2908</v>
      </c>
      <c r="W146" s="329">
        <v>0</v>
      </c>
      <c r="X146" s="329">
        <f>ROUND((D146*E146*F146*G146*H146*J146*K146*L146*N146*1000000*M146/3600)*(1-W146),4)</f>
        <v>9.2999999999999992E-3</v>
      </c>
      <c r="Y146" s="329">
        <f>ROUND((D146*E146*F146*G146*H146*J146*K146*L146*M146*O146)*(1-W146),4)</f>
        <v>3.3099999999999997E-2</v>
      </c>
      <c r="Z146" s="3"/>
      <c r="AA146" s="3"/>
    </row>
    <row r="147" spans="1:28" ht="33" customHeight="1" x14ac:dyDescent="0.25">
      <c r="A147" s="895"/>
      <c r="B147" s="346" t="s">
        <v>552</v>
      </c>
      <c r="C147" s="927"/>
      <c r="D147" s="329">
        <v>0.02</v>
      </c>
      <c r="E147" s="329">
        <v>0.01</v>
      </c>
      <c r="F147" s="347">
        <v>1.4</v>
      </c>
      <c r="G147" s="329">
        <v>1</v>
      </c>
      <c r="H147" s="329">
        <v>0.01</v>
      </c>
      <c r="I147" s="329" t="s">
        <v>55</v>
      </c>
      <c r="J147" s="329">
        <v>0.2</v>
      </c>
      <c r="K147" s="329" t="s">
        <v>55</v>
      </c>
      <c r="L147" s="329" t="s">
        <v>55</v>
      </c>
      <c r="M147" s="329">
        <v>0.5</v>
      </c>
      <c r="N147" s="329">
        <v>1190</v>
      </c>
      <c r="O147" s="329">
        <v>1181932</v>
      </c>
      <c r="P147" s="329" t="s">
        <v>55</v>
      </c>
      <c r="Q147" s="329" t="s">
        <v>55</v>
      </c>
      <c r="R147" s="329" t="s">
        <v>55</v>
      </c>
      <c r="S147" s="329" t="s">
        <v>55</v>
      </c>
      <c r="T147" s="329" t="s">
        <v>55</v>
      </c>
      <c r="U147" s="895"/>
      <c r="V147" s="895"/>
      <c r="W147" s="329">
        <v>0.85</v>
      </c>
      <c r="X147" s="329">
        <f>ROUND((D147*E147*F147*G147*H147*J147*N147*1000000*M147/3600)*(1-W147),4)</f>
        <v>1.3899999999999999E-2</v>
      </c>
      <c r="Y147" s="329">
        <f>ROUND((D147*E147*F147*G147*H147*J147*M147*O147)*(1-W147),4)</f>
        <v>4.9599999999999998E-2</v>
      </c>
      <c r="Z147" s="9" t="s">
        <v>688</v>
      </c>
      <c r="AA147" s="9"/>
      <c r="AB147" s="9"/>
    </row>
    <row r="148" spans="1:28" ht="15" customHeight="1" x14ac:dyDescent="0.25">
      <c r="A148" s="895"/>
      <c r="B148" s="346" t="s">
        <v>87</v>
      </c>
      <c r="C148" s="927"/>
      <c r="D148" s="329" t="s">
        <v>55</v>
      </c>
      <c r="E148" s="329" t="s">
        <v>55</v>
      </c>
      <c r="F148" s="347">
        <v>1.4</v>
      </c>
      <c r="G148" s="329">
        <v>1</v>
      </c>
      <c r="H148" s="329">
        <v>0.01</v>
      </c>
      <c r="I148" s="329">
        <v>1.3</v>
      </c>
      <c r="J148" s="329">
        <v>0.2</v>
      </c>
      <c r="K148" s="329" t="s">
        <v>55</v>
      </c>
      <c r="L148" s="329" t="s">
        <v>55</v>
      </c>
      <c r="M148" s="329" t="s">
        <v>55</v>
      </c>
      <c r="N148" s="329" t="s">
        <v>55</v>
      </c>
      <c r="O148" s="329" t="s">
        <v>55</v>
      </c>
      <c r="P148" s="329">
        <v>2E-3</v>
      </c>
      <c r="Q148" s="329">
        <v>20000</v>
      </c>
      <c r="R148" s="329">
        <v>24</v>
      </c>
      <c r="S148" s="329">
        <v>0</v>
      </c>
      <c r="T148" s="329">
        <v>20</v>
      </c>
      <c r="U148" s="895"/>
      <c r="V148" s="895"/>
      <c r="W148" s="329">
        <v>0.85</v>
      </c>
      <c r="X148" s="329">
        <f>ROUND((F148*G148*H148*I148*J148*P148*Q148)*(1-W148),4)</f>
        <v>2.18E-2</v>
      </c>
      <c r="Y148" s="329">
        <f>ROUND((((X148*R148*(110-T148-S148)*3600)/1000000)),4)</f>
        <v>0.16950000000000001</v>
      </c>
      <c r="Z148" t="s">
        <v>549</v>
      </c>
      <c r="AB148"/>
    </row>
    <row r="149" spans="1:28" ht="24" customHeight="1" x14ac:dyDescent="0.25">
      <c r="A149" s="863"/>
      <c r="B149" s="346" t="s">
        <v>551</v>
      </c>
      <c r="C149" s="863"/>
      <c r="D149" s="329">
        <v>0.02</v>
      </c>
      <c r="E149" s="329">
        <v>0.01</v>
      </c>
      <c r="F149" s="347">
        <v>1.4</v>
      </c>
      <c r="G149" s="329">
        <v>1</v>
      </c>
      <c r="H149" s="329">
        <v>0.01</v>
      </c>
      <c r="I149" s="329" t="s">
        <v>55</v>
      </c>
      <c r="J149" s="329">
        <v>0.2</v>
      </c>
      <c r="K149" s="329" t="s">
        <v>55</v>
      </c>
      <c r="L149" s="329" t="s">
        <v>55</v>
      </c>
      <c r="M149" s="329">
        <v>0.5</v>
      </c>
      <c r="N149" s="329">
        <v>1190</v>
      </c>
      <c r="O149" s="329">
        <v>1181932</v>
      </c>
      <c r="P149" s="329" t="s">
        <v>55</v>
      </c>
      <c r="Q149" s="329" t="s">
        <v>55</v>
      </c>
      <c r="R149" s="329" t="s">
        <v>55</v>
      </c>
      <c r="S149" s="329" t="s">
        <v>55</v>
      </c>
      <c r="T149" s="329" t="s">
        <v>55</v>
      </c>
      <c r="U149" s="928"/>
      <c r="V149" s="928"/>
      <c r="W149" s="329">
        <v>0</v>
      </c>
      <c r="X149" s="329">
        <f>ROUND((D149*E149*F149*G149*H149*J149*N149*1000000*M149/3600)*(1-W149),4)</f>
        <v>9.2600000000000002E-2</v>
      </c>
      <c r="Y149" s="329">
        <f>ROUND((D149*E149*F149*G149*H149*J149*M149*O149)*(1-W149),4)</f>
        <v>0.33090000000000003</v>
      </c>
      <c r="Z149" s="3"/>
      <c r="AA149" s="3"/>
    </row>
    <row r="150" spans="1:28" ht="45.75" customHeight="1" x14ac:dyDescent="0.25">
      <c r="A150" s="886" t="s">
        <v>690</v>
      </c>
      <c r="B150" s="887"/>
      <c r="C150" s="887"/>
      <c r="D150" s="887"/>
      <c r="E150" s="887"/>
      <c r="F150" s="887"/>
      <c r="G150" s="887"/>
      <c r="H150" s="887"/>
      <c r="I150" s="887"/>
      <c r="J150" s="887"/>
      <c r="K150" s="887"/>
      <c r="L150" s="887"/>
      <c r="M150" s="887"/>
      <c r="N150" s="887"/>
      <c r="O150" s="887"/>
      <c r="P150" s="887"/>
      <c r="Q150" s="887"/>
      <c r="R150" s="887"/>
      <c r="S150" s="887"/>
      <c r="T150" s="887"/>
      <c r="U150" s="348" t="s">
        <v>93</v>
      </c>
      <c r="V150" s="348">
        <v>2908</v>
      </c>
      <c r="W150" s="348"/>
      <c r="X150" s="348">
        <f>X146+X147+X148+X149</f>
        <v>0.1376</v>
      </c>
      <c r="Y150" s="348">
        <f>SUM(Y146:Y149)</f>
        <v>0.58309999999999995</v>
      </c>
      <c r="Z150" s="709">
        <f>X144+X150</f>
        <v>0.18109999999999998</v>
      </c>
      <c r="AA150" s="710">
        <f>Y144+Y150</f>
        <v>0.73259999999999992</v>
      </c>
      <c r="AB150" s="711">
        <v>2050</v>
      </c>
    </row>
    <row r="151" spans="1:28" x14ac:dyDescent="0.25">
      <c r="A151" s="929" t="s">
        <v>123</v>
      </c>
      <c r="B151" s="930"/>
      <c r="C151" s="930"/>
      <c r="D151" s="930"/>
      <c r="E151" s="930"/>
      <c r="F151" s="930"/>
      <c r="G151" s="930"/>
      <c r="H151" s="930"/>
      <c r="I151" s="930"/>
      <c r="J151" s="930"/>
      <c r="K151" s="930"/>
      <c r="L151" s="930"/>
      <c r="M151" s="930"/>
      <c r="N151" s="930"/>
      <c r="O151" s="930"/>
      <c r="P151" s="930"/>
      <c r="Q151" s="930"/>
      <c r="R151" s="930"/>
      <c r="S151" s="930"/>
      <c r="T151" s="930"/>
      <c r="U151" s="930"/>
      <c r="V151" s="930"/>
      <c r="W151" s="930"/>
      <c r="X151" s="930"/>
      <c r="Y151" s="931"/>
    </row>
    <row r="152" spans="1:28" x14ac:dyDescent="0.25">
      <c r="A152" s="932" t="s">
        <v>547</v>
      </c>
      <c r="B152" s="933"/>
      <c r="C152" s="933"/>
      <c r="D152" s="933"/>
      <c r="E152" s="933"/>
      <c r="F152" s="933"/>
      <c r="G152" s="933"/>
      <c r="H152" s="933"/>
      <c r="I152" s="933"/>
      <c r="J152" s="933"/>
      <c r="K152" s="933"/>
      <c r="L152" s="933"/>
      <c r="M152" s="933"/>
      <c r="N152" s="933"/>
      <c r="O152" s="933"/>
      <c r="P152" s="933"/>
      <c r="Q152" s="933"/>
      <c r="R152" s="933"/>
      <c r="S152" s="933"/>
      <c r="T152" s="933"/>
      <c r="U152" s="933"/>
      <c r="V152" s="933"/>
      <c r="W152" s="933"/>
      <c r="X152" s="933"/>
      <c r="Y152" s="934"/>
    </row>
    <row r="153" spans="1:28" ht="24" x14ac:dyDescent="0.25">
      <c r="A153" s="894">
        <v>8027</v>
      </c>
      <c r="B153" s="346" t="s">
        <v>88</v>
      </c>
      <c r="C153" s="894" t="s">
        <v>279</v>
      </c>
      <c r="D153" s="329">
        <v>0.02</v>
      </c>
      <c r="E153" s="329">
        <v>0.01</v>
      </c>
      <c r="F153" s="347">
        <v>1.4</v>
      </c>
      <c r="G153" s="329">
        <v>1</v>
      </c>
      <c r="H153" s="329">
        <v>0.01</v>
      </c>
      <c r="I153" s="329" t="s">
        <v>55</v>
      </c>
      <c r="J153" s="329">
        <v>0.4</v>
      </c>
      <c r="K153" s="329">
        <v>1</v>
      </c>
      <c r="L153" s="329">
        <v>0.1</v>
      </c>
      <c r="M153" s="329">
        <v>0.5</v>
      </c>
      <c r="N153" s="329">
        <v>112</v>
      </c>
      <c r="O153" s="329">
        <v>13709</v>
      </c>
      <c r="P153" s="329" t="s">
        <v>55</v>
      </c>
      <c r="Q153" s="329" t="s">
        <v>55</v>
      </c>
      <c r="R153" s="329" t="s">
        <v>55</v>
      </c>
      <c r="S153" s="329" t="s">
        <v>55</v>
      </c>
      <c r="T153" s="329" t="s">
        <v>55</v>
      </c>
      <c r="U153" s="894" t="s">
        <v>93</v>
      </c>
      <c r="V153" s="894">
        <v>2908</v>
      </c>
      <c r="W153" s="329">
        <v>0</v>
      </c>
      <c r="X153" s="329">
        <f>ROUND((D153*E153*F153*G153*H153*J153*K153*L153*N153*1000000*M153/3600)*(1-W153),4)</f>
        <v>1.6999999999999999E-3</v>
      </c>
      <c r="Y153" s="329">
        <f>ROUND((D153*E153*F153*G153*H153*J153*K153*L153*M153*O153)*(1-W153),4)</f>
        <v>8.0000000000000004E-4</v>
      </c>
    </row>
    <row r="154" spans="1:28" ht="36" x14ac:dyDescent="0.25">
      <c r="A154" s="895"/>
      <c r="B154" s="346" t="s">
        <v>552</v>
      </c>
      <c r="C154" s="927"/>
      <c r="D154" s="329">
        <v>0.02</v>
      </c>
      <c r="E154" s="329">
        <v>0.01</v>
      </c>
      <c r="F154" s="347">
        <v>1.4</v>
      </c>
      <c r="G154" s="329">
        <v>1</v>
      </c>
      <c r="H154" s="329">
        <v>0.01</v>
      </c>
      <c r="I154" s="329" t="s">
        <v>55</v>
      </c>
      <c r="J154" s="329">
        <v>0.4</v>
      </c>
      <c r="K154" s="329" t="s">
        <v>55</v>
      </c>
      <c r="L154" s="329" t="s">
        <v>55</v>
      </c>
      <c r="M154" s="329">
        <v>0.5</v>
      </c>
      <c r="N154" s="329">
        <v>112</v>
      </c>
      <c r="O154" s="329">
        <v>13709</v>
      </c>
      <c r="P154" s="329" t="s">
        <v>55</v>
      </c>
      <c r="Q154" s="329" t="s">
        <v>55</v>
      </c>
      <c r="R154" s="329" t="s">
        <v>55</v>
      </c>
      <c r="S154" s="329" t="s">
        <v>55</v>
      </c>
      <c r="T154" s="329" t="s">
        <v>55</v>
      </c>
      <c r="U154" s="895"/>
      <c r="V154" s="895"/>
      <c r="W154" s="329">
        <v>0.85</v>
      </c>
      <c r="X154" s="329">
        <f>ROUND((D154*E154*F154*G154*H154*J154*N154*1000000*M154/3600)*(1-W154),4)</f>
        <v>2.5999999999999999E-3</v>
      </c>
      <c r="Y154" s="329">
        <f>ROUND((D154*E154*F154*G154*H154*J154*M154*O154)*(1-W154),4)</f>
        <v>1.1999999999999999E-3</v>
      </c>
    </row>
    <row r="155" spans="1:28" x14ac:dyDescent="0.25">
      <c r="A155" s="895"/>
      <c r="B155" s="346" t="s">
        <v>87</v>
      </c>
      <c r="C155" s="927"/>
      <c r="D155" s="329" t="s">
        <v>55</v>
      </c>
      <c r="E155" s="329" t="s">
        <v>55</v>
      </c>
      <c r="F155" s="347">
        <v>1.4</v>
      </c>
      <c r="G155" s="329">
        <v>1</v>
      </c>
      <c r="H155" s="329">
        <v>0.01</v>
      </c>
      <c r="I155" s="329">
        <v>1.3</v>
      </c>
      <c r="J155" s="329">
        <v>0.4</v>
      </c>
      <c r="K155" s="329" t="s">
        <v>55</v>
      </c>
      <c r="L155" s="329" t="s">
        <v>55</v>
      </c>
      <c r="M155" s="329" t="s">
        <v>55</v>
      </c>
      <c r="N155" s="329" t="s">
        <v>55</v>
      </c>
      <c r="O155" s="329" t="s">
        <v>55</v>
      </c>
      <c r="P155" s="329">
        <v>2E-3</v>
      </c>
      <c r="Q155" s="329">
        <v>5000</v>
      </c>
      <c r="R155" s="329">
        <v>24</v>
      </c>
      <c r="S155" s="329">
        <v>0</v>
      </c>
      <c r="T155" s="329">
        <v>25</v>
      </c>
      <c r="U155" s="895"/>
      <c r="V155" s="895"/>
      <c r="W155" s="329">
        <v>0.85</v>
      </c>
      <c r="X155" s="329">
        <f>ROUND((F155*G155*H155*I155*J155*P155*Q155)*(1-W155),4)</f>
        <v>1.09E-2</v>
      </c>
      <c r="Y155" s="329">
        <f>ROUND((((X155*R155*(110-T155-S155)*3600)/1000000)),4)</f>
        <v>0.08</v>
      </c>
    </row>
    <row r="156" spans="1:28" ht="24" x14ac:dyDescent="0.25">
      <c r="A156" s="863"/>
      <c r="B156" s="346" t="s">
        <v>551</v>
      </c>
      <c r="C156" s="863"/>
      <c r="D156" s="329">
        <v>0.02</v>
      </c>
      <c r="E156" s="329">
        <v>0.01</v>
      </c>
      <c r="F156" s="347">
        <v>1.4</v>
      </c>
      <c r="G156" s="329">
        <v>1</v>
      </c>
      <c r="H156" s="329">
        <v>0.01</v>
      </c>
      <c r="I156" s="329" t="s">
        <v>55</v>
      </c>
      <c r="J156" s="329">
        <v>0.4</v>
      </c>
      <c r="K156" s="329" t="s">
        <v>55</v>
      </c>
      <c r="L156" s="329" t="s">
        <v>55</v>
      </c>
      <c r="M156" s="329">
        <v>0.5</v>
      </c>
      <c r="N156" s="329">
        <v>112</v>
      </c>
      <c r="O156" s="329">
        <v>13709</v>
      </c>
      <c r="P156" s="329" t="s">
        <v>55</v>
      </c>
      <c r="Q156" s="329" t="s">
        <v>55</v>
      </c>
      <c r="R156" s="329" t="s">
        <v>55</v>
      </c>
      <c r="S156" s="329" t="s">
        <v>55</v>
      </c>
      <c r="T156" s="329" t="s">
        <v>55</v>
      </c>
      <c r="U156" s="928"/>
      <c r="V156" s="928"/>
      <c r="W156" s="329">
        <v>0</v>
      </c>
      <c r="X156" s="329">
        <f>ROUND((D156*E156*F156*G156*H156*J156*N156*1000000*M156/3600)*(1-W156),4)</f>
        <v>1.7399999999999999E-2</v>
      </c>
      <c r="Y156" s="329">
        <f>ROUND((D156*E156*F156*G156*H156*J156*M156*O156)*(1-W156),4)</f>
        <v>7.7000000000000002E-3</v>
      </c>
    </row>
    <row r="157" spans="1:28" ht="51" customHeight="1" x14ac:dyDescent="0.25">
      <c r="A157" s="886" t="s">
        <v>548</v>
      </c>
      <c r="B157" s="887"/>
      <c r="C157" s="887"/>
      <c r="D157" s="887"/>
      <c r="E157" s="887"/>
      <c r="F157" s="887"/>
      <c r="G157" s="887"/>
      <c r="H157" s="887"/>
      <c r="I157" s="887"/>
      <c r="J157" s="887"/>
      <c r="K157" s="887"/>
      <c r="L157" s="887"/>
      <c r="M157" s="887"/>
      <c r="N157" s="887"/>
      <c r="O157" s="887"/>
      <c r="P157" s="887"/>
      <c r="Q157" s="887"/>
      <c r="R157" s="887"/>
      <c r="S157" s="887"/>
      <c r="T157" s="887"/>
      <c r="U157" s="348" t="s">
        <v>93</v>
      </c>
      <c r="V157" s="348">
        <v>2908</v>
      </c>
      <c r="W157" s="348"/>
      <c r="X157" s="348">
        <f>X153+X154+X155+X156</f>
        <v>3.2599999999999997E-2</v>
      </c>
      <c r="Y157" s="348">
        <f>SUM(Y153:Y156)</f>
        <v>8.9700000000000002E-2</v>
      </c>
      <c r="Z157" s="234"/>
      <c r="AA157" s="234"/>
    </row>
    <row r="158" spans="1:28" ht="14.25" customHeight="1" x14ac:dyDescent="0.25">
      <c r="A158" s="932" t="s">
        <v>691</v>
      </c>
      <c r="B158" s="933"/>
      <c r="C158" s="933"/>
      <c r="D158" s="933"/>
      <c r="E158" s="933"/>
      <c r="F158" s="933"/>
      <c r="G158" s="933"/>
      <c r="H158" s="933"/>
      <c r="I158" s="933"/>
      <c r="J158" s="933"/>
      <c r="K158" s="933"/>
      <c r="L158" s="933"/>
      <c r="M158" s="933"/>
      <c r="N158" s="933"/>
      <c r="O158" s="933"/>
      <c r="P158" s="933"/>
      <c r="Q158" s="933"/>
      <c r="R158" s="933"/>
      <c r="S158" s="933"/>
      <c r="T158" s="933"/>
      <c r="U158" s="933"/>
      <c r="V158" s="933"/>
      <c r="W158" s="933"/>
      <c r="X158" s="933"/>
      <c r="Y158" s="934"/>
      <c r="Z158" s="3"/>
      <c r="AA158" s="3"/>
    </row>
    <row r="159" spans="1:28" ht="24.75" customHeight="1" x14ac:dyDescent="0.25">
      <c r="A159" s="894">
        <v>8033</v>
      </c>
      <c r="B159" s="346" t="s">
        <v>88</v>
      </c>
      <c r="C159" s="894" t="s">
        <v>682</v>
      </c>
      <c r="D159" s="329">
        <v>0.02</v>
      </c>
      <c r="E159" s="329">
        <v>0.01</v>
      </c>
      <c r="F159" s="347">
        <v>1.4</v>
      </c>
      <c r="G159" s="329">
        <v>1</v>
      </c>
      <c r="H159" s="329">
        <v>0.01</v>
      </c>
      <c r="I159" s="329" t="s">
        <v>55</v>
      </c>
      <c r="J159" s="329">
        <v>0.2</v>
      </c>
      <c r="K159" s="329">
        <v>1</v>
      </c>
      <c r="L159" s="329">
        <v>0.1</v>
      </c>
      <c r="M159" s="329">
        <v>0.5</v>
      </c>
      <c r="N159" s="329">
        <v>119</v>
      </c>
      <c r="O159" s="329">
        <v>56378</v>
      </c>
      <c r="P159" s="329" t="s">
        <v>55</v>
      </c>
      <c r="Q159" s="329" t="s">
        <v>55</v>
      </c>
      <c r="R159" s="329" t="s">
        <v>55</v>
      </c>
      <c r="S159" s="329" t="s">
        <v>55</v>
      </c>
      <c r="T159" s="329" t="s">
        <v>55</v>
      </c>
      <c r="U159" s="894" t="s">
        <v>93</v>
      </c>
      <c r="V159" s="894">
        <v>2908</v>
      </c>
      <c r="W159" s="329">
        <v>0</v>
      </c>
      <c r="X159" s="329">
        <f>ROUND((D159*E159*F159*G159*H159*J159*K159*L159*N159*1000000*M159/3600)*(1-W159),4)</f>
        <v>8.9999999999999998E-4</v>
      </c>
      <c r="Y159" s="329">
        <f>ROUND((D159*E159*F159*G159*H159*J159*K159*L159*M159*O159)*(1-W159),4)</f>
        <v>1.6000000000000001E-3</v>
      </c>
      <c r="Z159" s="3"/>
      <c r="AA159" s="3"/>
    </row>
    <row r="160" spans="1:28" ht="37.5" customHeight="1" x14ac:dyDescent="0.25">
      <c r="A160" s="895"/>
      <c r="B160" s="346" t="s">
        <v>552</v>
      </c>
      <c r="C160" s="927"/>
      <c r="D160" s="329">
        <v>0.02</v>
      </c>
      <c r="E160" s="329">
        <v>0.01</v>
      </c>
      <c r="F160" s="347">
        <v>1.4</v>
      </c>
      <c r="G160" s="329">
        <v>1</v>
      </c>
      <c r="H160" s="329">
        <v>0.01</v>
      </c>
      <c r="I160" s="329" t="s">
        <v>55</v>
      </c>
      <c r="J160" s="329">
        <v>0.2</v>
      </c>
      <c r="K160" s="329" t="s">
        <v>55</v>
      </c>
      <c r="L160" s="329" t="s">
        <v>55</v>
      </c>
      <c r="M160" s="329">
        <v>0.5</v>
      </c>
      <c r="N160" s="329">
        <v>119</v>
      </c>
      <c r="O160" s="329">
        <v>56378</v>
      </c>
      <c r="P160" s="329" t="s">
        <v>55</v>
      </c>
      <c r="Q160" s="329" t="s">
        <v>55</v>
      </c>
      <c r="R160" s="329" t="s">
        <v>55</v>
      </c>
      <c r="S160" s="329" t="s">
        <v>55</v>
      </c>
      <c r="T160" s="329" t="s">
        <v>55</v>
      </c>
      <c r="U160" s="895"/>
      <c r="V160" s="895"/>
      <c r="W160" s="329">
        <v>0.85</v>
      </c>
      <c r="X160" s="329">
        <f>ROUND((D160*E160*F160*G160*H160*J160*N160*1000000*M160/3600)*(1-W160),4)</f>
        <v>1.4E-3</v>
      </c>
      <c r="Y160" s="329">
        <f>ROUND((D160*E160*F160*G160*H160*J160*M160*O160)*(1-W160),4)</f>
        <v>2.3999999999999998E-3</v>
      </c>
      <c r="Z160" s="9" t="s">
        <v>688</v>
      </c>
      <c r="AA160" s="9"/>
      <c r="AB160" s="9"/>
    </row>
    <row r="161" spans="1:28" ht="15.75" customHeight="1" x14ac:dyDescent="0.25">
      <c r="A161" s="895"/>
      <c r="B161" s="346" t="s">
        <v>87</v>
      </c>
      <c r="C161" s="927"/>
      <c r="D161" s="329" t="s">
        <v>55</v>
      </c>
      <c r="E161" s="329" t="s">
        <v>55</v>
      </c>
      <c r="F161" s="347">
        <v>1.4</v>
      </c>
      <c r="G161" s="329">
        <v>1</v>
      </c>
      <c r="H161" s="329">
        <v>0.01</v>
      </c>
      <c r="I161" s="329">
        <v>1.3</v>
      </c>
      <c r="J161" s="329">
        <v>0.2</v>
      </c>
      <c r="K161" s="329" t="s">
        <v>55</v>
      </c>
      <c r="L161" s="329" t="s">
        <v>55</v>
      </c>
      <c r="M161" s="329" t="s">
        <v>55</v>
      </c>
      <c r="N161" s="329" t="s">
        <v>55</v>
      </c>
      <c r="O161" s="329" t="s">
        <v>55</v>
      </c>
      <c r="P161" s="329">
        <v>2E-3</v>
      </c>
      <c r="Q161" s="329">
        <v>2000</v>
      </c>
      <c r="R161" s="329">
        <v>24</v>
      </c>
      <c r="S161" s="329">
        <v>0</v>
      </c>
      <c r="T161" s="329">
        <v>20</v>
      </c>
      <c r="U161" s="895"/>
      <c r="V161" s="895"/>
      <c r="W161" s="329">
        <v>0.85</v>
      </c>
      <c r="X161" s="329">
        <f>ROUND((F161*G161*H161*I161*J161*P161*Q161)*(1-W161),4)</f>
        <v>2.2000000000000001E-3</v>
      </c>
      <c r="Y161" s="329">
        <f>ROUND((((X161*R161*(110-T161-S161)*3600)/1000000)),4)</f>
        <v>1.7100000000000001E-2</v>
      </c>
      <c r="Z161" t="s">
        <v>549</v>
      </c>
      <c r="AB161"/>
    </row>
    <row r="162" spans="1:28" ht="24" customHeight="1" x14ac:dyDescent="0.25">
      <c r="A162" s="863"/>
      <c r="B162" s="346" t="s">
        <v>551</v>
      </c>
      <c r="C162" s="863"/>
      <c r="D162" s="329">
        <v>0.02</v>
      </c>
      <c r="E162" s="329">
        <v>0.01</v>
      </c>
      <c r="F162" s="347">
        <v>1.4</v>
      </c>
      <c r="G162" s="329">
        <v>1</v>
      </c>
      <c r="H162" s="329">
        <v>0.01</v>
      </c>
      <c r="I162" s="329" t="s">
        <v>55</v>
      </c>
      <c r="J162" s="329">
        <v>0.2</v>
      </c>
      <c r="K162" s="329" t="s">
        <v>55</v>
      </c>
      <c r="L162" s="329" t="s">
        <v>55</v>
      </c>
      <c r="M162" s="329">
        <v>0.5</v>
      </c>
      <c r="N162" s="329">
        <v>119</v>
      </c>
      <c r="O162" s="329">
        <v>56378</v>
      </c>
      <c r="P162" s="329" t="s">
        <v>55</v>
      </c>
      <c r="Q162" s="329" t="s">
        <v>55</v>
      </c>
      <c r="R162" s="329" t="s">
        <v>55</v>
      </c>
      <c r="S162" s="329" t="s">
        <v>55</v>
      </c>
      <c r="T162" s="329" t="s">
        <v>55</v>
      </c>
      <c r="U162" s="928"/>
      <c r="V162" s="928"/>
      <c r="W162" s="329">
        <v>0</v>
      </c>
      <c r="X162" s="329">
        <f>ROUND((D162*E162*F162*G162*H162*J162*N162*1000000*M162/3600)*(1-W162),4)</f>
        <v>9.2999999999999992E-3</v>
      </c>
      <c r="Y162" s="329">
        <f>ROUND((D162*E162*F162*G162*H162*J162*M162*O162)*(1-W162),4)</f>
        <v>1.5800000000000002E-2</v>
      </c>
      <c r="Z162" s="3"/>
      <c r="AA162" s="3"/>
    </row>
    <row r="163" spans="1:28" ht="51" customHeight="1" x14ac:dyDescent="0.25">
      <c r="A163" s="886" t="s">
        <v>692</v>
      </c>
      <c r="B163" s="887"/>
      <c r="C163" s="887"/>
      <c r="D163" s="887"/>
      <c r="E163" s="887"/>
      <c r="F163" s="887"/>
      <c r="G163" s="887"/>
      <c r="H163" s="887"/>
      <c r="I163" s="887"/>
      <c r="J163" s="887"/>
      <c r="K163" s="887"/>
      <c r="L163" s="887"/>
      <c r="M163" s="887"/>
      <c r="N163" s="887"/>
      <c r="O163" s="887"/>
      <c r="P163" s="887"/>
      <c r="Q163" s="887"/>
      <c r="R163" s="887"/>
      <c r="S163" s="887"/>
      <c r="T163" s="887"/>
      <c r="U163" s="348" t="s">
        <v>93</v>
      </c>
      <c r="V163" s="348">
        <v>2908</v>
      </c>
      <c r="W163" s="348"/>
      <c r="X163" s="348">
        <f>X159+X160+X161+X162</f>
        <v>1.38E-2</v>
      </c>
      <c r="Y163" s="348">
        <f>SUM(Y159:Y162)</f>
        <v>3.6900000000000002E-2</v>
      </c>
      <c r="Z163" s="709">
        <f>X157+X163</f>
        <v>4.6399999999999997E-2</v>
      </c>
      <c r="AA163" s="710">
        <f>Y157+Y163</f>
        <v>0.12659999999999999</v>
      </c>
      <c r="AB163" s="711">
        <v>2051</v>
      </c>
    </row>
    <row r="164" spans="1:28" ht="39" customHeight="1" x14ac:dyDescent="0.25">
      <c r="A164" s="831" t="s">
        <v>562</v>
      </c>
      <c r="B164" s="831"/>
      <c r="C164" s="831"/>
      <c r="D164" s="831"/>
      <c r="E164" s="831"/>
      <c r="F164" s="831"/>
      <c r="G164" s="831"/>
      <c r="H164" s="831"/>
      <c r="I164" s="831"/>
      <c r="J164" s="831"/>
      <c r="K164" s="831"/>
      <c r="L164" s="831"/>
      <c r="M164" s="831"/>
      <c r="N164" s="831"/>
      <c r="O164" s="831"/>
      <c r="P164" s="831"/>
      <c r="Q164" s="831"/>
      <c r="R164" s="831"/>
      <c r="S164" s="831"/>
      <c r="T164" s="831"/>
      <c r="U164" s="831"/>
      <c r="V164" s="831"/>
      <c r="W164" s="831"/>
      <c r="X164" s="831"/>
      <c r="Y164" s="831"/>
    </row>
  </sheetData>
  <mergeCells count="166">
    <mergeCell ref="A163:T163"/>
    <mergeCell ref="A150:T150"/>
    <mergeCell ref="A158:Y158"/>
    <mergeCell ref="A159:A162"/>
    <mergeCell ref="C159:C162"/>
    <mergeCell ref="U159:U162"/>
    <mergeCell ref="V159:V162"/>
    <mergeCell ref="A137:T137"/>
    <mergeCell ref="A145:Y145"/>
    <mergeCell ref="A146:A149"/>
    <mergeCell ref="C146:C149"/>
    <mergeCell ref="U146:U149"/>
    <mergeCell ref="V146:V149"/>
    <mergeCell ref="A157:T157"/>
    <mergeCell ref="A144:T144"/>
    <mergeCell ref="A151:Y151"/>
    <mergeCell ref="A152:Y152"/>
    <mergeCell ref="A153:A156"/>
    <mergeCell ref="C153:C156"/>
    <mergeCell ref="U153:U156"/>
    <mergeCell ref="V153:V156"/>
    <mergeCell ref="A138:Y138"/>
    <mergeCell ref="A139:Y139"/>
    <mergeCell ref="A140:A143"/>
    <mergeCell ref="A130:T130"/>
    <mergeCell ref="A131:Y131"/>
    <mergeCell ref="A132:Y132"/>
    <mergeCell ref="A133:A136"/>
    <mergeCell ref="C133:C136"/>
    <mergeCell ref="U133:U136"/>
    <mergeCell ref="V133:V136"/>
    <mergeCell ref="A110:T110"/>
    <mergeCell ref="A124:Y124"/>
    <mergeCell ref="A125:Y125"/>
    <mergeCell ref="A126:A129"/>
    <mergeCell ref="C126:C129"/>
    <mergeCell ref="U126:U129"/>
    <mergeCell ref="V126:V129"/>
    <mergeCell ref="A117:T117"/>
    <mergeCell ref="A91:Y91"/>
    <mergeCell ref="A104:Y104"/>
    <mergeCell ref="A105:Y105"/>
    <mergeCell ref="A106:A109"/>
    <mergeCell ref="C106:C109"/>
    <mergeCell ref="U106:U109"/>
    <mergeCell ref="V106:V109"/>
    <mergeCell ref="A99:A102"/>
    <mergeCell ref="C99:C102"/>
    <mergeCell ref="U99:U102"/>
    <mergeCell ref="V99:V102"/>
    <mergeCell ref="A103:T103"/>
    <mergeCell ref="A24:T24"/>
    <mergeCell ref="A51:Y51"/>
    <mergeCell ref="A52:A55"/>
    <mergeCell ref="C52:C55"/>
    <mergeCell ref="U52:U55"/>
    <mergeCell ref="V52:V55"/>
    <mergeCell ref="A38:Y38"/>
    <mergeCell ref="A39:A42"/>
    <mergeCell ref="C39:C42"/>
    <mergeCell ref="U39:U42"/>
    <mergeCell ref="V39:V42"/>
    <mergeCell ref="A43:T43"/>
    <mergeCell ref="A25:Y25"/>
    <mergeCell ref="A26:Y26"/>
    <mergeCell ref="A27:A30"/>
    <mergeCell ref="C27:C30"/>
    <mergeCell ref="U27:U30"/>
    <mergeCell ref="V27:V30"/>
    <mergeCell ref="A31:T31"/>
    <mergeCell ref="A44:Y44"/>
    <mergeCell ref="A45:Y45"/>
    <mergeCell ref="A46:A49"/>
    <mergeCell ref="C46:C49"/>
    <mergeCell ref="U46:U49"/>
    <mergeCell ref="A19:Y19"/>
    <mergeCell ref="A20:A23"/>
    <mergeCell ref="C20:C23"/>
    <mergeCell ref="U20:U23"/>
    <mergeCell ref="V20:V23"/>
    <mergeCell ref="A18:T18"/>
    <mergeCell ref="A13:Y13"/>
    <mergeCell ref="A14:A17"/>
    <mergeCell ref="C14:C17"/>
    <mergeCell ref="U14:U17"/>
    <mergeCell ref="V14:V17"/>
    <mergeCell ref="A6:Y6"/>
    <mergeCell ref="A7:Y7"/>
    <mergeCell ref="A12:T12"/>
    <mergeCell ref="A8:A11"/>
    <mergeCell ref="C8:C11"/>
    <mergeCell ref="U8:U11"/>
    <mergeCell ref="V8:V11"/>
    <mergeCell ref="X2:Y2"/>
    <mergeCell ref="A2:A3"/>
    <mergeCell ref="B2:B3"/>
    <mergeCell ref="C2:C3"/>
    <mergeCell ref="U2:U3"/>
    <mergeCell ref="V2:V3"/>
    <mergeCell ref="A5:Y5"/>
    <mergeCell ref="V46:V49"/>
    <mergeCell ref="A32:Y32"/>
    <mergeCell ref="A33:A36"/>
    <mergeCell ref="C33:C36"/>
    <mergeCell ref="U33:U36"/>
    <mergeCell ref="V33:V36"/>
    <mergeCell ref="A37:T37"/>
    <mergeCell ref="A50:T50"/>
    <mergeCell ref="A64:Y64"/>
    <mergeCell ref="A65:Y65"/>
    <mergeCell ref="A66:A69"/>
    <mergeCell ref="C66:C69"/>
    <mergeCell ref="U66:U69"/>
    <mergeCell ref="V66:V69"/>
    <mergeCell ref="A56:T56"/>
    <mergeCell ref="A57:Y57"/>
    <mergeCell ref="A58:Y58"/>
    <mergeCell ref="A59:A62"/>
    <mergeCell ref="C59:C62"/>
    <mergeCell ref="U59:U62"/>
    <mergeCell ref="V59:V62"/>
    <mergeCell ref="A63:T63"/>
    <mergeCell ref="A70:T70"/>
    <mergeCell ref="A84:Y84"/>
    <mergeCell ref="A85:Y85"/>
    <mergeCell ref="A86:A89"/>
    <mergeCell ref="C86:C89"/>
    <mergeCell ref="U86:U89"/>
    <mergeCell ref="V86:V89"/>
    <mergeCell ref="A71:Y71"/>
    <mergeCell ref="A72:A75"/>
    <mergeCell ref="C72:C75"/>
    <mergeCell ref="U72:U75"/>
    <mergeCell ref="V72:V75"/>
    <mergeCell ref="A76:T76"/>
    <mergeCell ref="A77:Y77"/>
    <mergeCell ref="A78:Y78"/>
    <mergeCell ref="A79:A82"/>
    <mergeCell ref="C79:C82"/>
    <mergeCell ref="U79:U82"/>
    <mergeCell ref="V79:V82"/>
    <mergeCell ref="A83:T83"/>
    <mergeCell ref="C140:C143"/>
    <mergeCell ref="U140:U143"/>
    <mergeCell ref="V140:V143"/>
    <mergeCell ref="A164:Y164"/>
    <mergeCell ref="A90:T90"/>
    <mergeCell ref="A111:Y111"/>
    <mergeCell ref="A112:Y112"/>
    <mergeCell ref="A113:A116"/>
    <mergeCell ref="C113:C116"/>
    <mergeCell ref="U113:U116"/>
    <mergeCell ref="V113:V116"/>
    <mergeCell ref="A118:Y118"/>
    <mergeCell ref="A119:A122"/>
    <mergeCell ref="C119:C122"/>
    <mergeCell ref="U119:U122"/>
    <mergeCell ref="V119:V122"/>
    <mergeCell ref="A123:T123"/>
    <mergeCell ref="A92:A95"/>
    <mergeCell ref="C92:C95"/>
    <mergeCell ref="U92:U95"/>
    <mergeCell ref="V92:V95"/>
    <mergeCell ref="A96:T96"/>
    <mergeCell ref="A97:Y97"/>
    <mergeCell ref="A98:Y98"/>
  </mergeCells>
  <pageMargins left="0.31496062992125984" right="0.31496062992125984" top="0.78740157480314965" bottom="0.39370078740157483" header="0.31496062992125984" footer="0.19685039370078741"/>
  <pageSetup paperSize="9" firstPageNumber="177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25</vt:i4>
      </vt:variant>
    </vt:vector>
  </HeadingPairs>
  <TitlesOfParts>
    <vt:vector size="39" baseType="lpstr">
      <vt:lpstr>введение</vt:lpstr>
      <vt:lpstr>содержание</vt:lpstr>
      <vt:lpstr>ИТОГО  от ШН</vt:lpstr>
      <vt:lpstr>2.1 снятие ПРС бульдозер</vt:lpstr>
      <vt:lpstr>2.2 погрузка экскаватора</vt:lpstr>
      <vt:lpstr>2.3 земляные работы</vt:lpstr>
      <vt:lpstr>2.4 транспортирование</vt:lpstr>
      <vt:lpstr>2.5.1 склад ПРС</vt:lpstr>
      <vt:lpstr>2.5.2 временные склады</vt:lpstr>
      <vt:lpstr>2.6 Сварка</vt:lpstr>
      <vt:lpstr>2.7сварка полиэтилена</vt:lpstr>
      <vt:lpstr>2.8ДЭС</vt:lpstr>
      <vt:lpstr>2.9 топливозаправщик</vt:lpstr>
      <vt:lpstr>2.10 транспорт</vt:lpstr>
      <vt:lpstr>введение!_Hlk194582329</vt:lpstr>
      <vt:lpstr>'2.1 снятие ПРС бульдозер'!Заголовки_для_печати</vt:lpstr>
      <vt:lpstr>'2.10 транспорт'!Заголовки_для_печати</vt:lpstr>
      <vt:lpstr>'2.2 погрузка экскаватора'!Заголовки_для_печати</vt:lpstr>
      <vt:lpstr>'2.3 земляные работы'!Заголовки_для_печати</vt:lpstr>
      <vt:lpstr>'2.4 транспортирование'!Заголовки_для_печати</vt:lpstr>
      <vt:lpstr>'2.5.1 склад ПРС'!Заголовки_для_печати</vt:lpstr>
      <vt:lpstr>'2.5.2 временные склады'!Заголовки_для_печати</vt:lpstr>
      <vt:lpstr>'2.6 Сварка'!Заголовки_для_печати</vt:lpstr>
      <vt:lpstr>'2.7сварка полиэтилена'!Заголовки_для_печати</vt:lpstr>
      <vt:lpstr>'2.8ДЭС'!Заголовки_для_печати</vt:lpstr>
      <vt:lpstr>'2.9 топливозаправщик'!Заголовки_для_печати</vt:lpstr>
      <vt:lpstr>'ИТОГО  от ШН'!Заголовки_для_печати</vt:lpstr>
      <vt:lpstr>'2.1 снятие ПРС бульдозер'!Область_печати</vt:lpstr>
      <vt:lpstr>'2.10 транспорт'!Область_печати</vt:lpstr>
      <vt:lpstr>'2.2 погрузка экскаватора'!Область_печати</vt:lpstr>
      <vt:lpstr>'2.3 земляные работы'!Область_печати</vt:lpstr>
      <vt:lpstr>'2.4 транспортирование'!Область_печати</vt:lpstr>
      <vt:lpstr>'2.5.1 склад ПРС'!Область_печати</vt:lpstr>
      <vt:lpstr>'2.5.2 временные склады'!Область_печати</vt:lpstr>
      <vt:lpstr>'2.6 Сварка'!Область_печати</vt:lpstr>
      <vt:lpstr>'2.7сварка полиэтилена'!Область_печати</vt:lpstr>
      <vt:lpstr>'2.8ДЭС'!Область_печати</vt:lpstr>
      <vt:lpstr>'2.9 топливозаправщик'!Область_печати</vt:lpstr>
      <vt:lpstr>введение!Область_печати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</cp:lastModifiedBy>
  <cp:lastPrinted>2025-10-07T08:53:16Z</cp:lastPrinted>
  <dcterms:created xsi:type="dcterms:W3CDTF">2025-04-03T06:00:42Z</dcterms:created>
  <dcterms:modified xsi:type="dcterms:W3CDTF">2025-10-15T09:12:18Z</dcterms:modified>
</cp:coreProperties>
</file>