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Моя работа\Отчеты о возможных воздействиях\ОоВВ ЕГМК\Книга 2 Часть 2 - Расчет выбросов ЗВ на период СР\Площадка 3 - технологическая дорога\"/>
    </mc:Choice>
  </mc:AlternateContent>
  <xr:revisionPtr revIDLastSave="0" documentId="13_ncr:1_{65700888-6D78-4588-9C2F-B2FB3917D3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ведение" sheetId="9" r:id="rId1"/>
    <sheet name="содержание" sheetId="11" r:id="rId2"/>
    <sheet name="3.1снятие ПРС бульдозер" sheetId="1" r:id="rId3"/>
    <sheet name="3.2погрузка экскаватора" sheetId="2" r:id="rId4"/>
    <sheet name="3.3земляные работы" sheetId="4" r:id="rId5"/>
    <sheet name="3.4транспортирование" sheetId="3" r:id="rId6"/>
    <sheet name="3.5сварка" sheetId="5" r:id="rId7"/>
    <sheet name="3.6 топливозаправщик" sheetId="7" r:id="rId8"/>
    <sheet name="3.7ДЭС" sheetId="12" r:id="rId9"/>
    <sheet name="3.8автотранспорт" sheetId="8" r:id="rId10"/>
    <sheet name="ИТОГО ТС" sheetId="10" r:id="rId11"/>
  </sheets>
  <definedNames>
    <definedName name="_xlnm.Print_Titles" localSheetId="2">'3.1снятие ПРС бульдозер'!$25:$27</definedName>
    <definedName name="_xlnm.Print_Titles" localSheetId="3">'3.2погрузка экскаватора'!$28:$30</definedName>
    <definedName name="_xlnm.Print_Titles" localSheetId="4">'3.3земляные работы'!$28:$31</definedName>
    <definedName name="_xlnm.Print_Titles" localSheetId="5">'3.4транспортирование'!$31:$33</definedName>
    <definedName name="_xlnm.Print_Titles" localSheetId="6">'3.5сварка'!$26:$29</definedName>
    <definedName name="_xlnm.Print_Titles" localSheetId="7">'3.6 топливозаправщик'!$47:$50</definedName>
    <definedName name="_xlnm.Print_Titles" localSheetId="8">'3.7ДЭС'!$20:$23</definedName>
    <definedName name="_xlnm.Print_Titles" localSheetId="9">'3.8автотранспорт'!$43:$47</definedName>
    <definedName name="_xlnm.Print_Area" localSheetId="2">'3.1снятие ПРС бульдозер'!$A$1:$P$42</definedName>
    <definedName name="_xlnm.Print_Area" localSheetId="3">'3.2погрузка экскаватора'!$A$1:$P$44</definedName>
    <definedName name="_xlnm.Print_Area" localSheetId="4">'3.3земляные работы'!$A$1:$R$68</definedName>
    <definedName name="_xlnm.Print_Area" localSheetId="5">'3.4транспортирование'!$A$1:$U$53</definedName>
    <definedName name="_xlnm.Print_Area" localSheetId="6">'3.5сварка'!$A$1:$K$57</definedName>
    <definedName name="_xlnm.Print_Area" localSheetId="7">'3.6 топливозаправщик'!$A$1:$O$63</definedName>
    <definedName name="_xlnm.Print_Area" localSheetId="8">'3.7ДЭС'!$A$1:$N$53</definedName>
    <definedName name="_xlnm.Print_Area" localSheetId="9">'3.8автотранспорт'!$A$1:$AF$327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0" l="1"/>
  <c r="D30" i="10"/>
  <c r="E29" i="10"/>
  <c r="D29" i="10"/>
  <c r="E28" i="10"/>
  <c r="D28" i="10"/>
  <c r="E27" i="10"/>
  <c r="D27" i="10"/>
  <c r="E26" i="10"/>
  <c r="D26" i="10"/>
  <c r="E25" i="10"/>
  <c r="D25" i="10"/>
  <c r="E24" i="10"/>
  <c r="D24" i="10"/>
  <c r="E23" i="10"/>
  <c r="D23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N53" i="12"/>
  <c r="K22" i="10" s="1"/>
  <c r="K51" i="10" s="1"/>
  <c r="M53" i="12"/>
  <c r="J22" i="10" s="1"/>
  <c r="J51" i="10" s="1"/>
  <c r="N52" i="12"/>
  <c r="K21" i="10" s="1"/>
  <c r="M52" i="12"/>
  <c r="J21" i="10" s="1"/>
  <c r="N51" i="12"/>
  <c r="K20" i="10" s="1"/>
  <c r="K46" i="10" s="1"/>
  <c r="M51" i="12"/>
  <c r="J20" i="10" s="1"/>
  <c r="J46" i="10" s="1"/>
  <c r="N50" i="12"/>
  <c r="K19" i="10" s="1"/>
  <c r="K45" i="10" s="1"/>
  <c r="M50" i="12"/>
  <c r="J19" i="10" s="1"/>
  <c r="J45" i="10" s="1"/>
  <c r="N49" i="12"/>
  <c r="K18" i="10" s="1"/>
  <c r="M49" i="12"/>
  <c r="J18" i="10" s="1"/>
  <c r="N48" i="12"/>
  <c r="K17" i="10" s="1"/>
  <c r="K44" i="10" s="1"/>
  <c r="M48" i="12"/>
  <c r="J17" i="10" s="1"/>
  <c r="J44" i="10" s="1"/>
  <c r="N47" i="12"/>
  <c r="K16" i="10" s="1"/>
  <c r="M47" i="12"/>
  <c r="J16" i="10" s="1"/>
  <c r="N46" i="12"/>
  <c r="K15" i="10" s="1"/>
  <c r="M46" i="12"/>
  <c r="J15" i="10" s="1"/>
  <c r="N43" i="12"/>
  <c r="I30" i="10" s="1"/>
  <c r="I51" i="10" s="1"/>
  <c r="M43" i="12"/>
  <c r="H30" i="10" s="1"/>
  <c r="H51" i="10" s="1"/>
  <c r="N33" i="12"/>
  <c r="G22" i="10" s="1"/>
  <c r="G51" i="10" s="1"/>
  <c r="N42" i="12"/>
  <c r="I29" i="10" s="1"/>
  <c r="M42" i="12"/>
  <c r="H29" i="10" s="1"/>
  <c r="N41" i="12"/>
  <c r="I28" i="10" s="1"/>
  <c r="I46" i="10" s="1"/>
  <c r="M41" i="12"/>
  <c r="H28" i="10" s="1"/>
  <c r="H46" i="10" s="1"/>
  <c r="N40" i="12"/>
  <c r="I27" i="10" s="1"/>
  <c r="I45" i="10" s="1"/>
  <c r="M40" i="12"/>
  <c r="H27" i="10" s="1"/>
  <c r="H45" i="10" s="1"/>
  <c r="N39" i="12"/>
  <c r="I26" i="10" s="1"/>
  <c r="M39" i="12"/>
  <c r="H26" i="10" s="1"/>
  <c r="N38" i="12"/>
  <c r="I25" i="10" s="1"/>
  <c r="I44" i="10" s="1"/>
  <c r="M38" i="12"/>
  <c r="H25" i="10" s="1"/>
  <c r="H44" i="10" s="1"/>
  <c r="N37" i="12"/>
  <c r="I24" i="10" s="1"/>
  <c r="M37" i="12"/>
  <c r="H24" i="10" s="1"/>
  <c r="N36" i="12"/>
  <c r="I23" i="10" s="1"/>
  <c r="M36" i="12"/>
  <c r="H23" i="10" s="1"/>
  <c r="M33" i="12"/>
  <c r="F22" i="10" s="1"/>
  <c r="F51" i="10" s="1"/>
  <c r="N32" i="12"/>
  <c r="G21" i="10" s="1"/>
  <c r="M32" i="12"/>
  <c r="F21" i="10" s="1"/>
  <c r="F52" i="10" s="1"/>
  <c r="N31" i="12"/>
  <c r="G20" i="10" s="1"/>
  <c r="G46" i="10" s="1"/>
  <c r="M31" i="12"/>
  <c r="F20" i="10" s="1"/>
  <c r="F46" i="10" s="1"/>
  <c r="N30" i="12"/>
  <c r="G19" i="10" s="1"/>
  <c r="G45" i="10" s="1"/>
  <c r="M30" i="12"/>
  <c r="F19" i="10" s="1"/>
  <c r="F45" i="10" s="1"/>
  <c r="N29" i="12"/>
  <c r="G18" i="10" s="1"/>
  <c r="M29" i="12"/>
  <c r="F18" i="10" s="1"/>
  <c r="N28" i="12"/>
  <c r="G17" i="10" s="1"/>
  <c r="G44" i="10" s="1"/>
  <c r="M28" i="12"/>
  <c r="F17" i="10" s="1"/>
  <c r="F44" i="10" s="1"/>
  <c r="N27" i="12"/>
  <c r="G16" i="10" s="1"/>
  <c r="M27" i="12"/>
  <c r="F16" i="10" s="1"/>
  <c r="N26" i="12"/>
  <c r="G15" i="10" s="1"/>
  <c r="M26" i="12"/>
  <c r="F15" i="10" s="1"/>
  <c r="P53" i="12" l="1"/>
  <c r="O53" i="12"/>
  <c r="P43" i="12"/>
  <c r="P33" i="12"/>
  <c r="O43" i="12"/>
  <c r="O33" i="12"/>
  <c r="U44" i="2" l="1"/>
  <c r="M59" i="4"/>
  <c r="M47" i="4"/>
  <c r="M35" i="4"/>
  <c r="J4" i="10" l="1"/>
  <c r="U53" i="3"/>
  <c r="R44" i="2"/>
  <c r="Q44" i="2"/>
  <c r="T53" i="3"/>
  <c r="Y52" i="3"/>
  <c r="U48" i="3"/>
  <c r="T48" i="3"/>
  <c r="Y47" i="3"/>
  <c r="Y46" i="3"/>
  <c r="U41" i="3"/>
  <c r="T41" i="3"/>
  <c r="Y40" i="3"/>
  <c r="Y39" i="3"/>
  <c r="Q62" i="4"/>
  <c r="R62" i="4"/>
  <c r="R65" i="4"/>
  <c r="Q65" i="4"/>
  <c r="R53" i="4"/>
  <c r="Q53" i="4"/>
  <c r="R41" i="4"/>
  <c r="Q41" i="4"/>
  <c r="R64" i="4"/>
  <c r="Q64" i="4"/>
  <c r="R52" i="4"/>
  <c r="Q52" i="4"/>
  <c r="R40" i="4"/>
  <c r="Q40" i="4"/>
  <c r="R61" i="4"/>
  <c r="Q61" i="4"/>
  <c r="R60" i="4"/>
  <c r="Q60" i="4"/>
  <c r="R48" i="4"/>
  <c r="Q48" i="4"/>
  <c r="R36" i="4"/>
  <c r="Q36" i="4"/>
  <c r="Y51" i="3"/>
  <c r="Y45" i="3"/>
  <c r="Y44" i="3"/>
  <c r="T44" i="2"/>
  <c r="Y38" i="3"/>
  <c r="Y37" i="3"/>
  <c r="T40" i="2"/>
  <c r="T39" i="2"/>
  <c r="T35" i="2"/>
  <c r="T34" i="2"/>
  <c r="T41" i="1"/>
  <c r="O41" i="1"/>
  <c r="H41" i="1"/>
  <c r="P41" i="1" s="1"/>
  <c r="T40" i="1"/>
  <c r="H40" i="1" s="1"/>
  <c r="P40" i="1" s="1"/>
  <c r="P42" i="1" s="1"/>
  <c r="R42" i="1" s="1"/>
  <c r="O40" i="1"/>
  <c r="O42" i="1" s="1"/>
  <c r="Q42" i="1" s="1"/>
  <c r="T37" i="1"/>
  <c r="T36" i="1"/>
  <c r="T32" i="1"/>
  <c r="T31" i="1"/>
  <c r="V36" i="2" l="1"/>
  <c r="E68" i="10" l="1"/>
  <c r="D68" i="10"/>
  <c r="E67" i="10"/>
  <c r="D67" i="10"/>
  <c r="E66" i="10"/>
  <c r="D66" i="10"/>
  <c r="E65" i="10"/>
  <c r="D65" i="10"/>
  <c r="E64" i="10"/>
  <c r="D64" i="10"/>
  <c r="E63" i="10"/>
  <c r="D63" i="10"/>
  <c r="E14" i="10"/>
  <c r="D14" i="10"/>
  <c r="E13" i="10"/>
  <c r="D13" i="10"/>
  <c r="E12" i="10"/>
  <c r="D12" i="10"/>
  <c r="E11" i="10"/>
  <c r="D11" i="10"/>
  <c r="E10" i="10"/>
  <c r="D10" i="10"/>
  <c r="E9" i="10"/>
  <c r="D9" i="10"/>
  <c r="E8" i="10"/>
  <c r="D8" i="10"/>
  <c r="E7" i="10"/>
  <c r="D7" i="10"/>
  <c r="E6" i="10"/>
  <c r="D6" i="10"/>
  <c r="E5" i="10"/>
  <c r="D5" i="10"/>
  <c r="E4" i="10"/>
  <c r="D4" i="10"/>
  <c r="Q52" i="3" l="1"/>
  <c r="T52" i="3"/>
  <c r="Q47" i="3"/>
  <c r="T47" i="3"/>
  <c r="T46" i="3"/>
  <c r="Q40" i="3"/>
  <c r="T40" i="3"/>
  <c r="T39" i="3"/>
  <c r="U52" i="3" l="1"/>
  <c r="U47" i="3"/>
  <c r="Q46" i="3"/>
  <c r="U46" i="3" s="1"/>
  <c r="Q39" i="3"/>
  <c r="U39" i="3" s="1"/>
  <c r="U40" i="3"/>
  <c r="Y327" i="8" l="1"/>
  <c r="X327" i="8"/>
  <c r="W327" i="8"/>
  <c r="V327" i="8"/>
  <c r="AB327" i="8" s="1"/>
  <c r="U327" i="8"/>
  <c r="AA327" i="8" s="1"/>
  <c r="T327" i="8"/>
  <c r="Z327" i="8" s="1"/>
  <c r="Y326" i="8"/>
  <c r="X326" i="8"/>
  <c r="W326" i="8"/>
  <c r="V326" i="8"/>
  <c r="AB326" i="8" s="1"/>
  <c r="U326" i="8"/>
  <c r="AA326" i="8" s="1"/>
  <c r="T326" i="8"/>
  <c r="Z326" i="8" s="1"/>
  <c r="Y325" i="8"/>
  <c r="X325" i="8"/>
  <c r="W325" i="8"/>
  <c r="V325" i="8"/>
  <c r="AB325" i="8" s="1"/>
  <c r="U325" i="8"/>
  <c r="AA325" i="8" s="1"/>
  <c r="T325" i="8"/>
  <c r="Z325" i="8" s="1"/>
  <c r="Y324" i="8"/>
  <c r="X324" i="8"/>
  <c r="W324" i="8"/>
  <c r="V324" i="8"/>
  <c r="AB324" i="8" s="1"/>
  <c r="U324" i="8"/>
  <c r="AA324" i="8" s="1"/>
  <c r="T324" i="8"/>
  <c r="Z324" i="8" s="1"/>
  <c r="Y322" i="8"/>
  <c r="X322" i="8"/>
  <c r="W322" i="8"/>
  <c r="V322" i="8"/>
  <c r="AB322" i="8" s="1"/>
  <c r="U322" i="8"/>
  <c r="AA322" i="8" s="1"/>
  <c r="T322" i="8"/>
  <c r="Z322" i="8" s="1"/>
  <c r="Y321" i="8"/>
  <c r="X321" i="8"/>
  <c r="AE321" i="8" s="1"/>
  <c r="W321" i="8"/>
  <c r="Y320" i="8"/>
  <c r="X320" i="8"/>
  <c r="AE320" i="8" s="1"/>
  <c r="W320" i="8"/>
  <c r="Y319" i="8"/>
  <c r="X319" i="8"/>
  <c r="AE319" i="8" s="1"/>
  <c r="W319" i="8"/>
  <c r="Y318" i="8"/>
  <c r="X318" i="8"/>
  <c r="AE318" i="8" s="1"/>
  <c r="W318" i="8"/>
  <c r="Y316" i="8"/>
  <c r="X316" i="8"/>
  <c r="AE316" i="8" s="1"/>
  <c r="W316" i="8"/>
  <c r="O316" i="8"/>
  <c r="K316" i="8"/>
  <c r="I316" i="8" s="1"/>
  <c r="U319" i="8" s="1"/>
  <c r="Y315" i="8"/>
  <c r="X315" i="8"/>
  <c r="AE315" i="8" s="1"/>
  <c r="W315" i="8"/>
  <c r="Y314" i="8"/>
  <c r="X314" i="8"/>
  <c r="AE314" i="8" s="1"/>
  <c r="W314" i="8"/>
  <c r="Y313" i="8"/>
  <c r="X313" i="8"/>
  <c r="AE313" i="8" s="1"/>
  <c r="W313" i="8"/>
  <c r="Y312" i="8"/>
  <c r="X312" i="8"/>
  <c r="AE312" i="8" s="1"/>
  <c r="W312" i="8"/>
  <c r="Y310" i="8"/>
  <c r="X310" i="8"/>
  <c r="AE310" i="8" s="1"/>
  <c r="W310" i="8"/>
  <c r="O310" i="8"/>
  <c r="K310" i="8"/>
  <c r="I310" i="8" s="1"/>
  <c r="U314" i="8" s="1"/>
  <c r="Y309" i="8"/>
  <c r="X309" i="8"/>
  <c r="AE309" i="8" s="1"/>
  <c r="W309" i="8"/>
  <c r="Y308" i="8"/>
  <c r="X308" i="8"/>
  <c r="AE308" i="8" s="1"/>
  <c r="W308" i="8"/>
  <c r="Y307" i="8"/>
  <c r="X307" i="8"/>
  <c r="AE307" i="8" s="1"/>
  <c r="W307" i="8"/>
  <c r="Y306" i="8"/>
  <c r="X306" i="8"/>
  <c r="AE306" i="8" s="1"/>
  <c r="W306" i="8"/>
  <c r="Y304" i="8"/>
  <c r="X304" i="8"/>
  <c r="AE305" i="8" s="1"/>
  <c r="W304" i="8"/>
  <c r="O304" i="8"/>
  <c r="K304" i="8"/>
  <c r="I304" i="8" s="1"/>
  <c r="Y303" i="8"/>
  <c r="X303" i="8"/>
  <c r="AE303" i="8" s="1"/>
  <c r="W303" i="8"/>
  <c r="Y302" i="8"/>
  <c r="X302" i="8"/>
  <c r="AE302" i="8" s="1"/>
  <c r="W302" i="8"/>
  <c r="Y301" i="8"/>
  <c r="X301" i="8"/>
  <c r="AE301" i="8" s="1"/>
  <c r="W301" i="8"/>
  <c r="Y300" i="8"/>
  <c r="X300" i="8"/>
  <c r="AE300" i="8" s="1"/>
  <c r="W300" i="8"/>
  <c r="Y298" i="8"/>
  <c r="X298" i="8"/>
  <c r="AE299" i="8" s="1"/>
  <c r="W298" i="8"/>
  <c r="O298" i="8"/>
  <c r="K298" i="8"/>
  <c r="I298" i="8" s="1"/>
  <c r="T300" i="8" s="1"/>
  <c r="Y297" i="8"/>
  <c r="X297" i="8"/>
  <c r="AE297" i="8" s="1"/>
  <c r="W297" i="8"/>
  <c r="Y296" i="8"/>
  <c r="X296" i="8"/>
  <c r="AE296" i="8" s="1"/>
  <c r="W296" i="8"/>
  <c r="Y295" i="8"/>
  <c r="X295" i="8"/>
  <c r="AE295" i="8" s="1"/>
  <c r="W295" i="8"/>
  <c r="Y294" i="8"/>
  <c r="X294" i="8"/>
  <c r="AE294" i="8" s="1"/>
  <c r="W294" i="8"/>
  <c r="Y292" i="8"/>
  <c r="X292" i="8"/>
  <c r="AE293" i="8" s="1"/>
  <c r="W292" i="8"/>
  <c r="O292" i="8"/>
  <c r="K292" i="8"/>
  <c r="I292" i="8" s="1"/>
  <c r="V294" i="8" s="1"/>
  <c r="Y291" i="8"/>
  <c r="X291" i="8"/>
  <c r="AE291" i="8" s="1"/>
  <c r="W291" i="8"/>
  <c r="Y290" i="8"/>
  <c r="X290" i="8"/>
  <c r="AE290" i="8" s="1"/>
  <c r="W290" i="8"/>
  <c r="Y289" i="8"/>
  <c r="X289" i="8"/>
  <c r="AE289" i="8" s="1"/>
  <c r="W289" i="8"/>
  <c r="Y288" i="8"/>
  <c r="X288" i="8"/>
  <c r="AE288" i="8" s="1"/>
  <c r="W288" i="8"/>
  <c r="Y286" i="8"/>
  <c r="X286" i="8"/>
  <c r="AE286" i="8" s="1"/>
  <c r="W286" i="8"/>
  <c r="O286" i="8"/>
  <c r="K286" i="8"/>
  <c r="I286" i="8" s="1"/>
  <c r="U289" i="8" s="1"/>
  <c r="Y285" i="8"/>
  <c r="X285" i="8"/>
  <c r="AE285" i="8" s="1"/>
  <c r="W285" i="8"/>
  <c r="Y284" i="8"/>
  <c r="X284" i="8"/>
  <c r="AE284" i="8" s="1"/>
  <c r="W284" i="8"/>
  <c r="Y283" i="8"/>
  <c r="X283" i="8"/>
  <c r="AE283" i="8" s="1"/>
  <c r="W283" i="8"/>
  <c r="Y282" i="8"/>
  <c r="X282" i="8"/>
  <c r="AE282" i="8" s="1"/>
  <c r="W282" i="8"/>
  <c r="Y280" i="8"/>
  <c r="X280" i="8"/>
  <c r="AE281" i="8" s="1"/>
  <c r="W280" i="8"/>
  <c r="O280" i="8"/>
  <c r="K280" i="8"/>
  <c r="I280" i="8" s="1"/>
  <c r="T282" i="8" s="1"/>
  <c r="Y279" i="8"/>
  <c r="X279" i="8"/>
  <c r="AE279" i="8" s="1"/>
  <c r="W279" i="8"/>
  <c r="Y278" i="8"/>
  <c r="X278" i="8"/>
  <c r="AE278" i="8" s="1"/>
  <c r="W278" i="8"/>
  <c r="Y277" i="8"/>
  <c r="X277" i="8"/>
  <c r="AE277" i="8" s="1"/>
  <c r="W277" i="8"/>
  <c r="Y276" i="8"/>
  <c r="X276" i="8"/>
  <c r="AE276" i="8" s="1"/>
  <c r="W276" i="8"/>
  <c r="Y274" i="8"/>
  <c r="X274" i="8"/>
  <c r="AE275" i="8" s="1"/>
  <c r="W274" i="8"/>
  <c r="O274" i="8"/>
  <c r="K274" i="8"/>
  <c r="I274" i="8" s="1"/>
  <c r="V277" i="8" s="1"/>
  <c r="Y273" i="8"/>
  <c r="X273" i="8"/>
  <c r="AE273" i="8" s="1"/>
  <c r="W273" i="8"/>
  <c r="Y272" i="8"/>
  <c r="X272" i="8"/>
  <c r="AE272" i="8" s="1"/>
  <c r="W272" i="8"/>
  <c r="Y271" i="8"/>
  <c r="X271" i="8"/>
  <c r="AE271" i="8" s="1"/>
  <c r="W271" i="8"/>
  <c r="Y270" i="8"/>
  <c r="X270" i="8"/>
  <c r="AE270" i="8" s="1"/>
  <c r="W270" i="8"/>
  <c r="Y268" i="8"/>
  <c r="X268" i="8"/>
  <c r="AE269" i="8" s="1"/>
  <c r="W268" i="8"/>
  <c r="O268" i="8"/>
  <c r="K268" i="8"/>
  <c r="I268" i="8" s="1"/>
  <c r="Y267" i="8"/>
  <c r="X267" i="8"/>
  <c r="AE267" i="8" s="1"/>
  <c r="W267" i="8"/>
  <c r="Y266" i="8"/>
  <c r="X266" i="8"/>
  <c r="AE266" i="8" s="1"/>
  <c r="W266" i="8"/>
  <c r="Y265" i="8"/>
  <c r="X265" i="8"/>
  <c r="AE265" i="8" s="1"/>
  <c r="W265" i="8"/>
  <c r="Y264" i="8"/>
  <c r="X264" i="8"/>
  <c r="AE264" i="8" s="1"/>
  <c r="W264" i="8"/>
  <c r="Y262" i="8"/>
  <c r="X262" i="8"/>
  <c r="AE263" i="8" s="1"/>
  <c r="W262" i="8"/>
  <c r="O262" i="8"/>
  <c r="K262" i="8"/>
  <c r="I262" i="8" s="1"/>
  <c r="V266" i="8" s="1"/>
  <c r="Y261" i="8"/>
  <c r="X261" i="8"/>
  <c r="AE261" i="8" s="1"/>
  <c r="W261" i="8"/>
  <c r="Y260" i="8"/>
  <c r="X260" i="8"/>
  <c r="AE260" i="8" s="1"/>
  <c r="W260" i="8"/>
  <c r="Y259" i="8"/>
  <c r="X259" i="8"/>
  <c r="AE259" i="8" s="1"/>
  <c r="W259" i="8"/>
  <c r="Y258" i="8"/>
  <c r="X258" i="8"/>
  <c r="AE258" i="8" s="1"/>
  <c r="W258" i="8"/>
  <c r="Y256" i="8"/>
  <c r="X256" i="8"/>
  <c r="AE257" i="8" s="1"/>
  <c r="W256" i="8"/>
  <c r="O256" i="8"/>
  <c r="K256" i="8"/>
  <c r="I256" i="8" s="1"/>
  <c r="Y254" i="8"/>
  <c r="X254" i="8"/>
  <c r="W254" i="8"/>
  <c r="V254" i="8"/>
  <c r="AB254" i="8" s="1"/>
  <c r="U254" i="8"/>
  <c r="AA254" i="8" s="1"/>
  <c r="T254" i="8"/>
  <c r="Z254" i="8" s="1"/>
  <c r="Y253" i="8"/>
  <c r="X253" i="8"/>
  <c r="W253" i="8"/>
  <c r="V253" i="8"/>
  <c r="AB253" i="8" s="1"/>
  <c r="U253" i="8"/>
  <c r="AA253" i="8" s="1"/>
  <c r="T253" i="8"/>
  <c r="Z253" i="8" s="1"/>
  <c r="Y252" i="8"/>
  <c r="X252" i="8"/>
  <c r="W252" i="8"/>
  <c r="V252" i="8"/>
  <c r="AB252" i="8" s="1"/>
  <c r="U252" i="8"/>
  <c r="AA252" i="8" s="1"/>
  <c r="T252" i="8"/>
  <c r="Z252" i="8" s="1"/>
  <c r="Y251" i="8"/>
  <c r="X251" i="8"/>
  <c r="W251" i="8"/>
  <c r="V251" i="8"/>
  <c r="AB251" i="8" s="1"/>
  <c r="U251" i="8"/>
  <c r="AA251" i="8" s="1"/>
  <c r="T251" i="8"/>
  <c r="Z251" i="8" s="1"/>
  <c r="Y249" i="8"/>
  <c r="X249" i="8"/>
  <c r="W249" i="8"/>
  <c r="V249" i="8"/>
  <c r="AB249" i="8" s="1"/>
  <c r="U249" i="8"/>
  <c r="AA249" i="8" s="1"/>
  <c r="T249" i="8"/>
  <c r="Z249" i="8" s="1"/>
  <c r="Y248" i="8"/>
  <c r="X248" i="8"/>
  <c r="AE248" i="8" s="1"/>
  <c r="W248" i="8"/>
  <c r="Y247" i="8"/>
  <c r="X247" i="8"/>
  <c r="AE247" i="8" s="1"/>
  <c r="W247" i="8"/>
  <c r="Y246" i="8"/>
  <c r="X246" i="8"/>
  <c r="AE246" i="8" s="1"/>
  <c r="W246" i="8"/>
  <c r="Y245" i="8"/>
  <c r="X245" i="8"/>
  <c r="AE245" i="8" s="1"/>
  <c r="W245" i="8"/>
  <c r="Y243" i="8"/>
  <c r="X243" i="8"/>
  <c r="AE244" i="8" s="1"/>
  <c r="W243" i="8"/>
  <c r="O243" i="8"/>
  <c r="K243" i="8"/>
  <c r="I243" i="8" s="1"/>
  <c r="V246" i="8" s="1"/>
  <c r="Y242" i="8"/>
  <c r="X242" i="8"/>
  <c r="AE242" i="8" s="1"/>
  <c r="W242" i="8"/>
  <c r="Y241" i="8"/>
  <c r="X241" i="8"/>
  <c r="AE241" i="8" s="1"/>
  <c r="W241" i="8"/>
  <c r="Y240" i="8"/>
  <c r="X240" i="8"/>
  <c r="AE240" i="8" s="1"/>
  <c r="W240" i="8"/>
  <c r="Y239" i="8"/>
  <c r="X239" i="8"/>
  <c r="AE239" i="8" s="1"/>
  <c r="W239" i="8"/>
  <c r="Y237" i="8"/>
  <c r="X237" i="8"/>
  <c r="AE237" i="8" s="1"/>
  <c r="W237" i="8"/>
  <c r="O237" i="8"/>
  <c r="K237" i="8"/>
  <c r="I237" i="8" s="1"/>
  <c r="Y236" i="8"/>
  <c r="X236" i="8"/>
  <c r="AE236" i="8" s="1"/>
  <c r="W236" i="8"/>
  <c r="Y235" i="8"/>
  <c r="X235" i="8"/>
  <c r="AE235" i="8" s="1"/>
  <c r="W235" i="8"/>
  <c r="Y234" i="8"/>
  <c r="X234" i="8"/>
  <c r="AE234" i="8" s="1"/>
  <c r="W234" i="8"/>
  <c r="Y233" i="8"/>
  <c r="X233" i="8"/>
  <c r="AE233" i="8" s="1"/>
  <c r="W233" i="8"/>
  <c r="Y231" i="8"/>
  <c r="X231" i="8"/>
  <c r="AE231" i="8" s="1"/>
  <c r="W231" i="8"/>
  <c r="O231" i="8"/>
  <c r="K231" i="8"/>
  <c r="I231" i="8" s="1"/>
  <c r="T235" i="8" s="1"/>
  <c r="Y230" i="8"/>
  <c r="X230" i="8"/>
  <c r="AE230" i="8" s="1"/>
  <c r="W230" i="8"/>
  <c r="Y229" i="8"/>
  <c r="X229" i="8"/>
  <c r="AE229" i="8" s="1"/>
  <c r="W229" i="8"/>
  <c r="Y228" i="8"/>
  <c r="X228" i="8"/>
  <c r="AE228" i="8" s="1"/>
  <c r="W228" i="8"/>
  <c r="Y227" i="8"/>
  <c r="X227" i="8"/>
  <c r="AE227" i="8" s="1"/>
  <c r="W227" i="8"/>
  <c r="Y225" i="8"/>
  <c r="X225" i="8"/>
  <c r="AE226" i="8" s="1"/>
  <c r="W225" i="8"/>
  <c r="O225" i="8"/>
  <c r="K225" i="8"/>
  <c r="I225" i="8" s="1"/>
  <c r="Y224" i="8"/>
  <c r="X224" i="8"/>
  <c r="AE224" i="8" s="1"/>
  <c r="W224" i="8"/>
  <c r="Y223" i="8"/>
  <c r="X223" i="8"/>
  <c r="AE223" i="8" s="1"/>
  <c r="W223" i="8"/>
  <c r="Y222" i="8"/>
  <c r="X222" i="8"/>
  <c r="AE222" i="8" s="1"/>
  <c r="W222" i="8"/>
  <c r="Y221" i="8"/>
  <c r="X221" i="8"/>
  <c r="AE221" i="8" s="1"/>
  <c r="W221" i="8"/>
  <c r="Y219" i="8"/>
  <c r="X219" i="8"/>
  <c r="AE220" i="8" s="1"/>
  <c r="W219" i="8"/>
  <c r="O219" i="8"/>
  <c r="K219" i="8"/>
  <c r="I219" i="8" s="1"/>
  <c r="Y218" i="8"/>
  <c r="X218" i="8"/>
  <c r="AE218" i="8" s="1"/>
  <c r="W218" i="8"/>
  <c r="Y217" i="8"/>
  <c r="X217" i="8"/>
  <c r="AE217" i="8" s="1"/>
  <c r="W217" i="8"/>
  <c r="Y216" i="8"/>
  <c r="X216" i="8"/>
  <c r="AE216" i="8" s="1"/>
  <c r="W216" i="8"/>
  <c r="Y215" i="8"/>
  <c r="X215" i="8"/>
  <c r="AE215" i="8" s="1"/>
  <c r="W215" i="8"/>
  <c r="Y213" i="8"/>
  <c r="X213" i="8"/>
  <c r="AE214" i="8" s="1"/>
  <c r="W213" i="8"/>
  <c r="O213" i="8"/>
  <c r="K213" i="8"/>
  <c r="I213" i="8" s="1"/>
  <c r="Y212" i="8"/>
  <c r="X212" i="8"/>
  <c r="AE212" i="8" s="1"/>
  <c r="W212" i="8"/>
  <c r="Y211" i="8"/>
  <c r="X211" i="8"/>
  <c r="AE211" i="8" s="1"/>
  <c r="W211" i="8"/>
  <c r="Y210" i="8"/>
  <c r="X210" i="8"/>
  <c r="AE210" i="8" s="1"/>
  <c r="W210" i="8"/>
  <c r="Y209" i="8"/>
  <c r="X209" i="8"/>
  <c r="AE209" i="8" s="1"/>
  <c r="W209" i="8"/>
  <c r="Y207" i="8"/>
  <c r="X207" i="8"/>
  <c r="AE208" i="8" s="1"/>
  <c r="W207" i="8"/>
  <c r="O207" i="8"/>
  <c r="K207" i="8"/>
  <c r="I207" i="8" s="1"/>
  <c r="V211" i="8" s="1"/>
  <c r="Y206" i="8"/>
  <c r="X206" i="8"/>
  <c r="AE206" i="8" s="1"/>
  <c r="W206" i="8"/>
  <c r="Y205" i="8"/>
  <c r="X205" i="8"/>
  <c r="AE205" i="8" s="1"/>
  <c r="W205" i="8"/>
  <c r="Y204" i="8"/>
  <c r="X204" i="8"/>
  <c r="AE204" i="8" s="1"/>
  <c r="W204" i="8"/>
  <c r="Y203" i="8"/>
  <c r="X203" i="8"/>
  <c r="AE203" i="8" s="1"/>
  <c r="W203" i="8"/>
  <c r="Y201" i="8"/>
  <c r="X201" i="8"/>
  <c r="AE202" i="8" s="1"/>
  <c r="W201" i="8"/>
  <c r="O201" i="8"/>
  <c r="K201" i="8"/>
  <c r="I201" i="8" s="1"/>
  <c r="V206" i="8" s="1"/>
  <c r="Y200" i="8"/>
  <c r="X200" i="8"/>
  <c r="AE200" i="8" s="1"/>
  <c r="W200" i="8"/>
  <c r="Y199" i="8"/>
  <c r="X199" i="8"/>
  <c r="AE199" i="8" s="1"/>
  <c r="W199" i="8"/>
  <c r="Y198" i="8"/>
  <c r="X198" i="8"/>
  <c r="AE198" i="8" s="1"/>
  <c r="W198" i="8"/>
  <c r="Y197" i="8"/>
  <c r="X197" i="8"/>
  <c r="AE197" i="8" s="1"/>
  <c r="W197" i="8"/>
  <c r="Y195" i="8"/>
  <c r="X195" i="8"/>
  <c r="AE196" i="8" s="1"/>
  <c r="W195" i="8"/>
  <c r="O195" i="8"/>
  <c r="K195" i="8"/>
  <c r="I195" i="8" s="1"/>
  <c r="T200" i="8" s="1"/>
  <c r="Y194" i="8"/>
  <c r="X194" i="8"/>
  <c r="AE194" i="8" s="1"/>
  <c r="W194" i="8"/>
  <c r="Y193" i="8"/>
  <c r="X193" i="8"/>
  <c r="AE193" i="8" s="1"/>
  <c r="W193" i="8"/>
  <c r="Y192" i="8"/>
  <c r="X192" i="8"/>
  <c r="AE192" i="8" s="1"/>
  <c r="W192" i="8"/>
  <c r="Y191" i="8"/>
  <c r="X191" i="8"/>
  <c r="AE191" i="8" s="1"/>
  <c r="W191" i="8"/>
  <c r="Y189" i="8"/>
  <c r="X189" i="8"/>
  <c r="AE189" i="8" s="1"/>
  <c r="W189" i="8"/>
  <c r="O189" i="8"/>
  <c r="K189" i="8"/>
  <c r="I189" i="8" s="1"/>
  <c r="T193" i="8" s="1"/>
  <c r="Y188" i="8"/>
  <c r="X188" i="8"/>
  <c r="AE188" i="8" s="1"/>
  <c r="W188" i="8"/>
  <c r="Y187" i="8"/>
  <c r="X187" i="8"/>
  <c r="AE187" i="8" s="1"/>
  <c r="W187" i="8"/>
  <c r="Y186" i="8"/>
  <c r="X186" i="8"/>
  <c r="AE186" i="8" s="1"/>
  <c r="W186" i="8"/>
  <c r="Y185" i="8"/>
  <c r="X185" i="8"/>
  <c r="AE185" i="8" s="1"/>
  <c r="W185" i="8"/>
  <c r="Y183" i="8"/>
  <c r="X183" i="8"/>
  <c r="AE184" i="8" s="1"/>
  <c r="W183" i="8"/>
  <c r="O183" i="8"/>
  <c r="K183" i="8"/>
  <c r="I183" i="8" s="1"/>
  <c r="T186" i="8" s="1"/>
  <c r="Y182" i="8"/>
  <c r="X182" i="8"/>
  <c r="AE182" i="8" s="1"/>
  <c r="W182" i="8"/>
  <c r="Y181" i="8"/>
  <c r="X181" i="8"/>
  <c r="AE181" i="8" s="1"/>
  <c r="W181" i="8"/>
  <c r="Y180" i="8"/>
  <c r="X180" i="8"/>
  <c r="AE180" i="8" s="1"/>
  <c r="W180" i="8"/>
  <c r="Y179" i="8"/>
  <c r="X179" i="8"/>
  <c r="AE179" i="8" s="1"/>
  <c r="W179" i="8"/>
  <c r="Y177" i="8"/>
  <c r="X177" i="8"/>
  <c r="W177" i="8"/>
  <c r="O177" i="8"/>
  <c r="K177" i="8"/>
  <c r="I177" i="8" s="1"/>
  <c r="U181" i="8" s="1"/>
  <c r="Y176" i="8"/>
  <c r="X176" i="8"/>
  <c r="AE176" i="8" s="1"/>
  <c r="W176" i="8"/>
  <c r="Y175" i="8"/>
  <c r="X175" i="8"/>
  <c r="AE175" i="8" s="1"/>
  <c r="W175" i="8"/>
  <c r="Y174" i="8"/>
  <c r="X174" i="8"/>
  <c r="AE174" i="8" s="1"/>
  <c r="W174" i="8"/>
  <c r="Y173" i="8"/>
  <c r="X173" i="8"/>
  <c r="AE173" i="8" s="1"/>
  <c r="W173" i="8"/>
  <c r="Y171" i="8"/>
  <c r="X171" i="8"/>
  <c r="AE172" i="8" s="1"/>
  <c r="W171" i="8"/>
  <c r="O171" i="8"/>
  <c r="K171" i="8"/>
  <c r="I171" i="8" s="1"/>
  <c r="V176" i="8" s="1"/>
  <c r="Y170" i="8"/>
  <c r="X170" i="8"/>
  <c r="AE170" i="8" s="1"/>
  <c r="W170" i="8"/>
  <c r="Y169" i="8"/>
  <c r="X169" i="8"/>
  <c r="AE169" i="8" s="1"/>
  <c r="W169" i="8"/>
  <c r="Y168" i="8"/>
  <c r="X168" i="8"/>
  <c r="AE168" i="8" s="1"/>
  <c r="W168" i="8"/>
  <c r="Y167" i="8"/>
  <c r="X167" i="8"/>
  <c r="AE167" i="8" s="1"/>
  <c r="W167" i="8"/>
  <c r="Y165" i="8"/>
  <c r="X165" i="8"/>
  <c r="W165" i="8"/>
  <c r="O165" i="8"/>
  <c r="K165" i="8"/>
  <c r="I165" i="8" s="1"/>
  <c r="Y164" i="8"/>
  <c r="X164" i="8"/>
  <c r="AE164" i="8" s="1"/>
  <c r="W164" i="8"/>
  <c r="Y163" i="8"/>
  <c r="X163" i="8"/>
  <c r="AE163" i="8" s="1"/>
  <c r="W163" i="8"/>
  <c r="Y162" i="8"/>
  <c r="X162" i="8"/>
  <c r="AE162" i="8" s="1"/>
  <c r="W162" i="8"/>
  <c r="Y161" i="8"/>
  <c r="X161" i="8"/>
  <c r="AE161" i="8" s="1"/>
  <c r="W161" i="8"/>
  <c r="Y159" i="8"/>
  <c r="X159" i="8"/>
  <c r="AE159" i="8" s="1"/>
  <c r="W159" i="8"/>
  <c r="O159" i="8"/>
  <c r="K159" i="8"/>
  <c r="I159" i="8" s="1"/>
  <c r="Y158" i="8"/>
  <c r="X158" i="8"/>
  <c r="AE158" i="8" s="1"/>
  <c r="W158" i="8"/>
  <c r="Y157" i="8"/>
  <c r="X157" i="8"/>
  <c r="AE157" i="8" s="1"/>
  <c r="W157" i="8"/>
  <c r="Y156" i="8"/>
  <c r="X156" i="8"/>
  <c r="AE156" i="8" s="1"/>
  <c r="W156" i="8"/>
  <c r="Y155" i="8"/>
  <c r="X155" i="8"/>
  <c r="AE155" i="8" s="1"/>
  <c r="W155" i="8"/>
  <c r="Y153" i="8"/>
  <c r="X153" i="8"/>
  <c r="AE154" i="8" s="1"/>
  <c r="W153" i="8"/>
  <c r="O153" i="8"/>
  <c r="K153" i="8"/>
  <c r="I153" i="8" s="1"/>
  <c r="O104" i="8"/>
  <c r="Y67" i="8"/>
  <c r="X67" i="8"/>
  <c r="AE67" i="8" s="1"/>
  <c r="W67" i="8"/>
  <c r="Y66" i="8"/>
  <c r="X66" i="8"/>
  <c r="AE66" i="8" s="1"/>
  <c r="W66" i="8"/>
  <c r="Y65" i="8"/>
  <c r="X65" i="8"/>
  <c r="AE65" i="8" s="1"/>
  <c r="W65" i="8"/>
  <c r="Y64" i="8"/>
  <c r="X64" i="8"/>
  <c r="AE64" i="8" s="1"/>
  <c r="W64" i="8"/>
  <c r="Y62" i="8"/>
  <c r="X62" i="8"/>
  <c r="AE63" i="8" s="1"/>
  <c r="W62" i="8"/>
  <c r="O62" i="8"/>
  <c r="K62" i="8"/>
  <c r="I62" i="8" s="1"/>
  <c r="V67" i="8" s="1"/>
  <c r="Y151" i="8"/>
  <c r="X151" i="8"/>
  <c r="W151" i="8"/>
  <c r="V151" i="8"/>
  <c r="AB151" i="8" s="1"/>
  <c r="U151" i="8"/>
  <c r="AA151" i="8" s="1"/>
  <c r="T151" i="8"/>
  <c r="Z151" i="8" s="1"/>
  <c r="Y150" i="8"/>
  <c r="X150" i="8"/>
  <c r="W150" i="8"/>
  <c r="V150" i="8"/>
  <c r="AB150" i="8" s="1"/>
  <c r="U150" i="8"/>
  <c r="AA150" i="8" s="1"/>
  <c r="T150" i="8"/>
  <c r="Z150" i="8" s="1"/>
  <c r="Y149" i="8"/>
  <c r="X149" i="8"/>
  <c r="W149" i="8"/>
  <c r="V149" i="8"/>
  <c r="AB149" i="8" s="1"/>
  <c r="U149" i="8"/>
  <c r="AA149" i="8" s="1"/>
  <c r="T149" i="8"/>
  <c r="Z149" i="8" s="1"/>
  <c r="Y148" i="8"/>
  <c r="X148" i="8"/>
  <c r="W148" i="8"/>
  <c r="V148" i="8"/>
  <c r="AB148" i="8" s="1"/>
  <c r="U148" i="8"/>
  <c r="AA148" i="8" s="1"/>
  <c r="T148" i="8"/>
  <c r="Z148" i="8" s="1"/>
  <c r="Y146" i="8"/>
  <c r="X146" i="8"/>
  <c r="W146" i="8"/>
  <c r="V146" i="8"/>
  <c r="AB146" i="8" s="1"/>
  <c r="U146" i="8"/>
  <c r="AA146" i="8" s="1"/>
  <c r="T146" i="8"/>
  <c r="Z146" i="8" s="1"/>
  <c r="Y145" i="8"/>
  <c r="X145" i="8"/>
  <c r="AE145" i="8" s="1"/>
  <c r="W145" i="8"/>
  <c r="Y144" i="8"/>
  <c r="X144" i="8"/>
  <c r="AE144" i="8" s="1"/>
  <c r="W144" i="8"/>
  <c r="Y143" i="8"/>
  <c r="X143" i="8"/>
  <c r="AE143" i="8" s="1"/>
  <c r="W143" i="8"/>
  <c r="Y142" i="8"/>
  <c r="X142" i="8"/>
  <c r="AE142" i="8" s="1"/>
  <c r="W142" i="8"/>
  <c r="Y140" i="8"/>
  <c r="X140" i="8"/>
  <c r="AE140" i="8" s="1"/>
  <c r="W140" i="8"/>
  <c r="O140" i="8"/>
  <c r="K140" i="8"/>
  <c r="I140" i="8" s="1"/>
  <c r="T144" i="8" s="1"/>
  <c r="Y139" i="8"/>
  <c r="X139" i="8"/>
  <c r="AE139" i="8" s="1"/>
  <c r="W139" i="8"/>
  <c r="Y138" i="8"/>
  <c r="X138" i="8"/>
  <c r="AE138" i="8" s="1"/>
  <c r="W138" i="8"/>
  <c r="Y137" i="8"/>
  <c r="X137" i="8"/>
  <c r="AE137" i="8" s="1"/>
  <c r="W137" i="8"/>
  <c r="Y136" i="8"/>
  <c r="X136" i="8"/>
  <c r="AE136" i="8" s="1"/>
  <c r="W136" i="8"/>
  <c r="Y134" i="8"/>
  <c r="X134" i="8"/>
  <c r="AE134" i="8" s="1"/>
  <c r="W134" i="8"/>
  <c r="O134" i="8"/>
  <c r="K134" i="8"/>
  <c r="I134" i="8" s="1"/>
  <c r="T139" i="8" s="1"/>
  <c r="Y133" i="8"/>
  <c r="X133" i="8"/>
  <c r="AE133" i="8" s="1"/>
  <c r="W133" i="8"/>
  <c r="Y132" i="8"/>
  <c r="X132" i="8"/>
  <c r="AE132" i="8" s="1"/>
  <c r="W132" i="8"/>
  <c r="Y131" i="8"/>
  <c r="X131" i="8"/>
  <c r="AE131" i="8" s="1"/>
  <c r="W131" i="8"/>
  <c r="Y130" i="8"/>
  <c r="X130" i="8"/>
  <c r="AE130" i="8" s="1"/>
  <c r="W130" i="8"/>
  <c r="Y128" i="8"/>
  <c r="X128" i="8"/>
  <c r="AE128" i="8" s="1"/>
  <c r="W128" i="8"/>
  <c r="O128" i="8"/>
  <c r="K128" i="8"/>
  <c r="I128" i="8" s="1"/>
  <c r="U132" i="8" s="1"/>
  <c r="Y127" i="8"/>
  <c r="X127" i="8"/>
  <c r="AE127" i="8" s="1"/>
  <c r="W127" i="8"/>
  <c r="Y126" i="8"/>
  <c r="X126" i="8"/>
  <c r="AE126" i="8" s="1"/>
  <c r="W126" i="8"/>
  <c r="Y125" i="8"/>
  <c r="X125" i="8"/>
  <c r="AE125" i="8" s="1"/>
  <c r="W125" i="8"/>
  <c r="Y124" i="8"/>
  <c r="X124" i="8"/>
  <c r="AE124" i="8" s="1"/>
  <c r="W124" i="8"/>
  <c r="Y122" i="8"/>
  <c r="X122" i="8"/>
  <c r="AE123" i="8" s="1"/>
  <c r="W122" i="8"/>
  <c r="O122" i="8"/>
  <c r="K122" i="8"/>
  <c r="I122" i="8" s="1"/>
  <c r="U122" i="8" s="1"/>
  <c r="Y121" i="8"/>
  <c r="X121" i="8"/>
  <c r="AE121" i="8" s="1"/>
  <c r="W121" i="8"/>
  <c r="Y120" i="8"/>
  <c r="X120" i="8"/>
  <c r="AE120" i="8" s="1"/>
  <c r="W120" i="8"/>
  <c r="Y119" i="8"/>
  <c r="X119" i="8"/>
  <c r="AE119" i="8" s="1"/>
  <c r="W119" i="8"/>
  <c r="Y118" i="8"/>
  <c r="X118" i="8"/>
  <c r="AE118" i="8" s="1"/>
  <c r="W118" i="8"/>
  <c r="Y116" i="8"/>
  <c r="X116" i="8"/>
  <c r="AE117" i="8" s="1"/>
  <c r="W116" i="8"/>
  <c r="O116" i="8"/>
  <c r="K116" i="8"/>
  <c r="I116" i="8" s="1"/>
  <c r="T118" i="8" s="1"/>
  <c r="Y115" i="8"/>
  <c r="X115" i="8"/>
  <c r="AE115" i="8" s="1"/>
  <c r="W115" i="8"/>
  <c r="Y114" i="8"/>
  <c r="X114" i="8"/>
  <c r="AE114" i="8" s="1"/>
  <c r="W114" i="8"/>
  <c r="Y113" i="8"/>
  <c r="X113" i="8"/>
  <c r="AE113" i="8" s="1"/>
  <c r="W113" i="8"/>
  <c r="Y112" i="8"/>
  <c r="X112" i="8"/>
  <c r="AE112" i="8" s="1"/>
  <c r="W112" i="8"/>
  <c r="Y110" i="8"/>
  <c r="X110" i="8"/>
  <c r="AE111" i="8" s="1"/>
  <c r="W110" i="8"/>
  <c r="O110" i="8"/>
  <c r="K110" i="8"/>
  <c r="I110" i="8" s="1"/>
  <c r="V115" i="8" s="1"/>
  <c r="Y109" i="8"/>
  <c r="X109" i="8"/>
  <c r="AE109" i="8" s="1"/>
  <c r="W109" i="8"/>
  <c r="Y108" i="8"/>
  <c r="X108" i="8"/>
  <c r="AE108" i="8" s="1"/>
  <c r="W108" i="8"/>
  <c r="Y107" i="8"/>
  <c r="X107" i="8"/>
  <c r="AE107" i="8" s="1"/>
  <c r="W107" i="8"/>
  <c r="Y106" i="8"/>
  <c r="X106" i="8"/>
  <c r="AE106" i="8" s="1"/>
  <c r="W106" i="8"/>
  <c r="Y104" i="8"/>
  <c r="X104" i="8"/>
  <c r="AE104" i="8" s="1"/>
  <c r="W104" i="8"/>
  <c r="K104" i="8"/>
  <c r="I104" i="8" s="1"/>
  <c r="Y103" i="8"/>
  <c r="X103" i="8"/>
  <c r="AE103" i="8" s="1"/>
  <c r="W103" i="8"/>
  <c r="Y102" i="8"/>
  <c r="X102" i="8"/>
  <c r="AE102" i="8" s="1"/>
  <c r="W102" i="8"/>
  <c r="Y101" i="8"/>
  <c r="X101" i="8"/>
  <c r="AE101" i="8" s="1"/>
  <c r="W101" i="8"/>
  <c r="Y100" i="8"/>
  <c r="X100" i="8"/>
  <c r="AE100" i="8" s="1"/>
  <c r="W100" i="8"/>
  <c r="Y98" i="8"/>
  <c r="X98" i="8"/>
  <c r="AE99" i="8" s="1"/>
  <c r="W98" i="8"/>
  <c r="O98" i="8"/>
  <c r="K98" i="8"/>
  <c r="I98" i="8" s="1"/>
  <c r="V102" i="8" s="1"/>
  <c r="Y97" i="8"/>
  <c r="X97" i="8"/>
  <c r="AE97" i="8" s="1"/>
  <c r="W97" i="8"/>
  <c r="Y96" i="8"/>
  <c r="X96" i="8"/>
  <c r="AE96" i="8" s="1"/>
  <c r="W96" i="8"/>
  <c r="Y95" i="8"/>
  <c r="X95" i="8"/>
  <c r="AE95" i="8" s="1"/>
  <c r="W95" i="8"/>
  <c r="Y94" i="8"/>
  <c r="X94" i="8"/>
  <c r="AE94" i="8" s="1"/>
  <c r="W94" i="8"/>
  <c r="Y92" i="8"/>
  <c r="X92" i="8"/>
  <c r="AE92" i="8" s="1"/>
  <c r="W92" i="8"/>
  <c r="O92" i="8"/>
  <c r="K92" i="8"/>
  <c r="I92" i="8" s="1"/>
  <c r="U96" i="8" s="1"/>
  <c r="Y91" i="8"/>
  <c r="X91" i="8"/>
  <c r="AE91" i="8" s="1"/>
  <c r="W91" i="8"/>
  <c r="Y90" i="8"/>
  <c r="X90" i="8"/>
  <c r="AE90" i="8" s="1"/>
  <c r="W90" i="8"/>
  <c r="Y89" i="8"/>
  <c r="X89" i="8"/>
  <c r="AE89" i="8" s="1"/>
  <c r="W89" i="8"/>
  <c r="Y88" i="8"/>
  <c r="X88" i="8"/>
  <c r="AE88" i="8" s="1"/>
  <c r="W88" i="8"/>
  <c r="Y86" i="8"/>
  <c r="X86" i="8"/>
  <c r="AE87" i="8" s="1"/>
  <c r="W86" i="8"/>
  <c r="O86" i="8"/>
  <c r="K86" i="8"/>
  <c r="I86" i="8" s="1"/>
  <c r="U91" i="8" s="1"/>
  <c r="Y85" i="8"/>
  <c r="X85" i="8"/>
  <c r="AE85" i="8" s="1"/>
  <c r="W85" i="8"/>
  <c r="Y84" i="8"/>
  <c r="X84" i="8"/>
  <c r="AE84" i="8" s="1"/>
  <c r="W84" i="8"/>
  <c r="Y83" i="8"/>
  <c r="X83" i="8"/>
  <c r="AE83" i="8" s="1"/>
  <c r="W83" i="8"/>
  <c r="Y82" i="8"/>
  <c r="X82" i="8"/>
  <c r="AE82" i="8" s="1"/>
  <c r="W82" i="8"/>
  <c r="Y80" i="8"/>
  <c r="X80" i="8"/>
  <c r="AE80" i="8" s="1"/>
  <c r="W80" i="8"/>
  <c r="O80" i="8"/>
  <c r="K80" i="8"/>
  <c r="I80" i="8" s="1"/>
  <c r="U82" i="8" s="1"/>
  <c r="Y79" i="8"/>
  <c r="X79" i="8"/>
  <c r="AE79" i="8" s="1"/>
  <c r="W79" i="8"/>
  <c r="Y78" i="8"/>
  <c r="X78" i="8"/>
  <c r="AE78" i="8" s="1"/>
  <c r="W78" i="8"/>
  <c r="Y77" i="8"/>
  <c r="X77" i="8"/>
  <c r="AE77" i="8" s="1"/>
  <c r="W77" i="8"/>
  <c r="Y76" i="8"/>
  <c r="X76" i="8"/>
  <c r="AE76" i="8" s="1"/>
  <c r="W76" i="8"/>
  <c r="Y74" i="8"/>
  <c r="X74" i="8"/>
  <c r="W74" i="8"/>
  <c r="O74" i="8"/>
  <c r="K74" i="8"/>
  <c r="I74" i="8" s="1"/>
  <c r="V79" i="8" s="1"/>
  <c r="Y73" i="8"/>
  <c r="X73" i="8"/>
  <c r="AE73" i="8" s="1"/>
  <c r="W73" i="8"/>
  <c r="Y72" i="8"/>
  <c r="X72" i="8"/>
  <c r="AE72" i="8" s="1"/>
  <c r="W72" i="8"/>
  <c r="Y71" i="8"/>
  <c r="X71" i="8"/>
  <c r="AE71" i="8" s="1"/>
  <c r="W71" i="8"/>
  <c r="Y70" i="8"/>
  <c r="X70" i="8"/>
  <c r="AE70" i="8" s="1"/>
  <c r="W70" i="8"/>
  <c r="Y68" i="8"/>
  <c r="X68" i="8"/>
  <c r="AE68" i="8" s="1"/>
  <c r="W68" i="8"/>
  <c r="O68" i="8"/>
  <c r="K68" i="8"/>
  <c r="I68" i="8" s="1"/>
  <c r="T73" i="8" s="1"/>
  <c r="Y61" i="8"/>
  <c r="X61" i="8"/>
  <c r="AE61" i="8" s="1"/>
  <c r="W61" i="8"/>
  <c r="Y60" i="8"/>
  <c r="X60" i="8"/>
  <c r="AE60" i="8" s="1"/>
  <c r="W60" i="8"/>
  <c r="Y59" i="8"/>
  <c r="X59" i="8"/>
  <c r="AE59" i="8" s="1"/>
  <c r="W59" i="8"/>
  <c r="Y58" i="8"/>
  <c r="X58" i="8"/>
  <c r="AE58" i="8" s="1"/>
  <c r="W58" i="8"/>
  <c r="Y56" i="8"/>
  <c r="X56" i="8"/>
  <c r="AE57" i="8" s="1"/>
  <c r="W56" i="8"/>
  <c r="O56" i="8"/>
  <c r="K56" i="8"/>
  <c r="I56" i="8" s="1"/>
  <c r="Y55" i="8"/>
  <c r="X55" i="8"/>
  <c r="AE55" i="8" s="1"/>
  <c r="W55" i="8"/>
  <c r="Y54" i="8"/>
  <c r="X54" i="8"/>
  <c r="AE54" i="8" s="1"/>
  <c r="W54" i="8"/>
  <c r="Y53" i="8"/>
  <c r="X53" i="8"/>
  <c r="AE53" i="8" s="1"/>
  <c r="W53" i="8"/>
  <c r="Y52" i="8"/>
  <c r="X52" i="8"/>
  <c r="AE52" i="8" s="1"/>
  <c r="W52" i="8"/>
  <c r="Y50" i="8"/>
  <c r="X50" i="8"/>
  <c r="AE51" i="8" s="1"/>
  <c r="W50" i="8"/>
  <c r="O50" i="8"/>
  <c r="K50" i="8"/>
  <c r="I50" i="8" s="1"/>
  <c r="AA314" i="8" l="1"/>
  <c r="AE326" i="8"/>
  <c r="J67" i="10" s="1"/>
  <c r="AA181" i="8"/>
  <c r="AB211" i="8"/>
  <c r="AE325" i="8"/>
  <c r="J66" i="10" s="1"/>
  <c r="J92" i="10" s="1"/>
  <c r="AE324" i="8"/>
  <c r="J65" i="10" s="1"/>
  <c r="AE327" i="8"/>
  <c r="J68" i="10" s="1"/>
  <c r="AA91" i="8"/>
  <c r="Z200" i="8"/>
  <c r="AA289" i="8"/>
  <c r="Z300" i="8"/>
  <c r="AB102" i="8"/>
  <c r="AB277" i="8"/>
  <c r="AB176" i="8"/>
  <c r="AE243" i="8"/>
  <c r="AB206" i="8"/>
  <c r="AE149" i="8"/>
  <c r="F66" i="10" s="1"/>
  <c r="F92" i="10" s="1"/>
  <c r="AE69" i="8"/>
  <c r="AE238" i="8"/>
  <c r="AA96" i="8"/>
  <c r="AA132" i="8"/>
  <c r="Z235" i="8"/>
  <c r="T273" i="8"/>
  <c r="Z273" i="8" s="1"/>
  <c r="V271" i="8"/>
  <c r="AB271" i="8" s="1"/>
  <c r="U309" i="8"/>
  <c r="AA309" i="8" s="1"/>
  <c r="U304" i="8"/>
  <c r="AA304" i="8" s="1"/>
  <c r="AE201" i="8"/>
  <c r="AE268" i="8"/>
  <c r="AE190" i="8"/>
  <c r="AE150" i="8"/>
  <c r="F67" i="10" s="1"/>
  <c r="AB246" i="8"/>
  <c r="V274" i="8"/>
  <c r="AB274" i="8" s="1"/>
  <c r="AE148" i="8"/>
  <c r="F65" i="10" s="1"/>
  <c r="AE195" i="8"/>
  <c r="AB67" i="8"/>
  <c r="AA319" i="8"/>
  <c r="Z118" i="8"/>
  <c r="AB294" i="8"/>
  <c r="AE151" i="8"/>
  <c r="F68" i="10" s="1"/>
  <c r="AB115" i="8"/>
  <c r="AE254" i="8"/>
  <c r="H68" i="10" s="1"/>
  <c r="Z193" i="8"/>
  <c r="AE213" i="8"/>
  <c r="U271" i="8"/>
  <c r="AA271" i="8" s="1"/>
  <c r="V307" i="8"/>
  <c r="AB307" i="8" s="1"/>
  <c r="AE252" i="8"/>
  <c r="H66" i="10" s="1"/>
  <c r="H92" i="10" s="1"/>
  <c r="V264" i="8"/>
  <c r="AB264" i="8" s="1"/>
  <c r="AE304" i="8"/>
  <c r="V273" i="8"/>
  <c r="AB273" i="8" s="1"/>
  <c r="AE256" i="8"/>
  <c r="AB266" i="8"/>
  <c r="V302" i="8"/>
  <c r="AB302" i="8" s="1"/>
  <c r="AE253" i="8"/>
  <c r="H67" i="10" s="1"/>
  <c r="Z186" i="8"/>
  <c r="U268" i="8"/>
  <c r="AA268" i="8" s="1"/>
  <c r="V268" i="8"/>
  <c r="AB268" i="8" s="1"/>
  <c r="Z282" i="8"/>
  <c r="T290" i="8"/>
  <c r="Z290" i="8" s="1"/>
  <c r="Z139" i="8"/>
  <c r="T271" i="8"/>
  <c r="Z271" i="8" s="1"/>
  <c r="V304" i="8"/>
  <c r="AB304" i="8" s="1"/>
  <c r="U307" i="8"/>
  <c r="AA307" i="8" s="1"/>
  <c r="T320" i="8"/>
  <c r="Z320" i="8" s="1"/>
  <c r="T261" i="8"/>
  <c r="Z261" i="8" s="1"/>
  <c r="U258" i="8"/>
  <c r="AA258" i="8" s="1"/>
  <c r="V260" i="8"/>
  <c r="AB260" i="8" s="1"/>
  <c r="T258" i="8"/>
  <c r="Z258" i="8" s="1"/>
  <c r="U259" i="8"/>
  <c r="AA259" i="8" s="1"/>
  <c r="V261" i="8"/>
  <c r="AB261" i="8" s="1"/>
  <c r="U260" i="8"/>
  <c r="AA260" i="8" s="1"/>
  <c r="T260" i="8"/>
  <c r="Z260" i="8" s="1"/>
  <c r="V256" i="8"/>
  <c r="AB256" i="8" s="1"/>
  <c r="U256" i="8"/>
  <c r="AA256" i="8" s="1"/>
  <c r="V259" i="8"/>
  <c r="AB259" i="8" s="1"/>
  <c r="U261" i="8"/>
  <c r="AA261" i="8" s="1"/>
  <c r="V258" i="8"/>
  <c r="AB258" i="8" s="1"/>
  <c r="T256" i="8"/>
  <c r="Z256" i="8" s="1"/>
  <c r="T259" i="8"/>
  <c r="Z259" i="8" s="1"/>
  <c r="U264" i="8"/>
  <c r="AA264" i="8" s="1"/>
  <c r="V279" i="8"/>
  <c r="AB279" i="8" s="1"/>
  <c r="T277" i="8"/>
  <c r="Z277" i="8" s="1"/>
  <c r="T274" i="8"/>
  <c r="Z274" i="8" s="1"/>
  <c r="U279" i="8"/>
  <c r="AA279" i="8" s="1"/>
  <c r="V276" i="8"/>
  <c r="AB276" i="8" s="1"/>
  <c r="T279" i="8"/>
  <c r="Z279" i="8" s="1"/>
  <c r="U276" i="8"/>
  <c r="AA276" i="8" s="1"/>
  <c r="V278" i="8"/>
  <c r="AB278" i="8" s="1"/>
  <c r="T276" i="8"/>
  <c r="Z276" i="8" s="1"/>
  <c r="U278" i="8"/>
  <c r="AA278" i="8" s="1"/>
  <c r="T278" i="8"/>
  <c r="Z278" i="8" s="1"/>
  <c r="U277" i="8"/>
  <c r="AA277" i="8" s="1"/>
  <c r="U274" i="8"/>
  <c r="AA274" i="8" s="1"/>
  <c r="U297" i="8"/>
  <c r="AA297" i="8" s="1"/>
  <c r="V313" i="8"/>
  <c r="AB313" i="8" s="1"/>
  <c r="U313" i="8"/>
  <c r="AA313" i="8" s="1"/>
  <c r="V310" i="8"/>
  <c r="AB310" i="8" s="1"/>
  <c r="V315" i="8"/>
  <c r="AB315" i="8" s="1"/>
  <c r="T313" i="8"/>
  <c r="Z313" i="8" s="1"/>
  <c r="U310" i="8"/>
  <c r="AA310" i="8" s="1"/>
  <c r="U315" i="8"/>
  <c r="AA315" i="8" s="1"/>
  <c r="V312" i="8"/>
  <c r="AB312" i="8" s="1"/>
  <c r="T310" i="8"/>
  <c r="Z310" i="8" s="1"/>
  <c r="T315" i="8"/>
  <c r="Z315" i="8" s="1"/>
  <c r="U312" i="8"/>
  <c r="AA312" i="8" s="1"/>
  <c r="V314" i="8"/>
  <c r="AB314" i="8" s="1"/>
  <c r="T312" i="8"/>
  <c r="Z312" i="8" s="1"/>
  <c r="T314" i="8"/>
  <c r="Z314" i="8" s="1"/>
  <c r="U267" i="8"/>
  <c r="AA267" i="8" s="1"/>
  <c r="AE317" i="8"/>
  <c r="T262" i="8"/>
  <c r="Z262" i="8" s="1"/>
  <c r="AE287" i="8"/>
  <c r="T302" i="8"/>
  <c r="Z302" i="8" s="1"/>
  <c r="V301" i="8"/>
  <c r="AB301" i="8" s="1"/>
  <c r="U301" i="8"/>
  <c r="AA301" i="8" s="1"/>
  <c r="V298" i="8"/>
  <c r="AB298" i="8" s="1"/>
  <c r="V303" i="8"/>
  <c r="AB303" i="8" s="1"/>
  <c r="T301" i="8"/>
  <c r="Z301" i="8" s="1"/>
  <c r="U298" i="8"/>
  <c r="AA298" i="8" s="1"/>
  <c r="U303" i="8"/>
  <c r="AA303" i="8" s="1"/>
  <c r="V300" i="8"/>
  <c r="AB300" i="8" s="1"/>
  <c r="T298" i="8"/>
  <c r="Z298" i="8" s="1"/>
  <c r="T303" i="8"/>
  <c r="Z303" i="8" s="1"/>
  <c r="U300" i="8"/>
  <c r="AA300" i="8" s="1"/>
  <c r="U302" i="8"/>
  <c r="AA302" i="8" s="1"/>
  <c r="T266" i="8"/>
  <c r="Z266" i="8" s="1"/>
  <c r="V265" i="8"/>
  <c r="AB265" i="8" s="1"/>
  <c r="U265" i="8"/>
  <c r="AA265" i="8" s="1"/>
  <c r="V267" i="8"/>
  <c r="AB267" i="8" s="1"/>
  <c r="T265" i="8"/>
  <c r="Z265" i="8" s="1"/>
  <c r="U262" i="8"/>
  <c r="AA262" i="8" s="1"/>
  <c r="U266" i="8"/>
  <c r="AA266" i="8" s="1"/>
  <c r="T267" i="8"/>
  <c r="Z267" i="8" s="1"/>
  <c r="V262" i="8"/>
  <c r="AB262" i="8" s="1"/>
  <c r="V296" i="8"/>
  <c r="AB296" i="8" s="1"/>
  <c r="T294" i="8"/>
  <c r="Z294" i="8" s="1"/>
  <c r="U296" i="8"/>
  <c r="AA296" i="8" s="1"/>
  <c r="T296" i="8"/>
  <c r="Z296" i="8" s="1"/>
  <c r="V295" i="8"/>
  <c r="AB295" i="8" s="1"/>
  <c r="V292" i="8"/>
  <c r="AB292" i="8" s="1"/>
  <c r="U295" i="8"/>
  <c r="AA295" i="8" s="1"/>
  <c r="U292" i="8"/>
  <c r="AA292" i="8" s="1"/>
  <c r="V297" i="8"/>
  <c r="AB297" i="8" s="1"/>
  <c r="T295" i="8"/>
  <c r="Z295" i="8" s="1"/>
  <c r="T292" i="8"/>
  <c r="Z292" i="8" s="1"/>
  <c r="T297" i="8"/>
  <c r="Z297" i="8" s="1"/>
  <c r="U294" i="8"/>
  <c r="AA294" i="8" s="1"/>
  <c r="T264" i="8"/>
  <c r="Z264" i="8" s="1"/>
  <c r="T284" i="8"/>
  <c r="Z284" i="8" s="1"/>
  <c r="V283" i="8"/>
  <c r="AB283" i="8" s="1"/>
  <c r="U283" i="8"/>
  <c r="AA283" i="8" s="1"/>
  <c r="V280" i="8"/>
  <c r="AB280" i="8" s="1"/>
  <c r="V285" i="8"/>
  <c r="AB285" i="8" s="1"/>
  <c r="T283" i="8"/>
  <c r="Z283" i="8" s="1"/>
  <c r="U280" i="8"/>
  <c r="AA280" i="8" s="1"/>
  <c r="U285" i="8"/>
  <c r="AA285" i="8" s="1"/>
  <c r="V282" i="8"/>
  <c r="AB282" i="8" s="1"/>
  <c r="T280" i="8"/>
  <c r="Z280" i="8" s="1"/>
  <c r="T285" i="8"/>
  <c r="Z285" i="8" s="1"/>
  <c r="U282" i="8"/>
  <c r="AA282" i="8" s="1"/>
  <c r="U284" i="8"/>
  <c r="AA284" i="8" s="1"/>
  <c r="V284" i="8"/>
  <c r="AB284" i="8" s="1"/>
  <c r="T268" i="8"/>
  <c r="Z268" i="8" s="1"/>
  <c r="V270" i="8"/>
  <c r="AB270" i="8" s="1"/>
  <c r="U273" i="8"/>
  <c r="AA273" i="8" s="1"/>
  <c r="AE274" i="8"/>
  <c r="V289" i="8"/>
  <c r="AB289" i="8" s="1"/>
  <c r="T304" i="8"/>
  <c r="Z304" i="8" s="1"/>
  <c r="T307" i="8"/>
  <c r="Z307" i="8" s="1"/>
  <c r="V309" i="8"/>
  <c r="AB309" i="8" s="1"/>
  <c r="AE311" i="8"/>
  <c r="V319" i="8"/>
  <c r="AB319" i="8" s="1"/>
  <c r="U290" i="8"/>
  <c r="AA290" i="8" s="1"/>
  <c r="U320" i="8"/>
  <c r="AA320" i="8" s="1"/>
  <c r="T288" i="8"/>
  <c r="Z288" i="8" s="1"/>
  <c r="V290" i="8"/>
  <c r="AB290" i="8" s="1"/>
  <c r="AE292" i="8"/>
  <c r="T308" i="8"/>
  <c r="Z308" i="8" s="1"/>
  <c r="T318" i="8"/>
  <c r="Z318" i="8" s="1"/>
  <c r="V320" i="8"/>
  <c r="AB320" i="8" s="1"/>
  <c r="AE262" i="8"/>
  <c r="T272" i="8"/>
  <c r="Z272" i="8" s="1"/>
  <c r="AE280" i="8"/>
  <c r="U288" i="8"/>
  <c r="AA288" i="8" s="1"/>
  <c r="T291" i="8"/>
  <c r="Z291" i="8" s="1"/>
  <c r="AE298" i="8"/>
  <c r="U308" i="8"/>
  <c r="AA308" i="8" s="1"/>
  <c r="U318" i="8"/>
  <c r="AA318" i="8" s="1"/>
  <c r="T321" i="8"/>
  <c r="Z321" i="8" s="1"/>
  <c r="U272" i="8"/>
  <c r="AA272" i="8" s="1"/>
  <c r="T286" i="8"/>
  <c r="Z286" i="8" s="1"/>
  <c r="V288" i="8"/>
  <c r="AB288" i="8" s="1"/>
  <c r="U291" i="8"/>
  <c r="AA291" i="8" s="1"/>
  <c r="T306" i="8"/>
  <c r="Z306" i="8" s="1"/>
  <c r="V308" i="8"/>
  <c r="AB308" i="8" s="1"/>
  <c r="T316" i="8"/>
  <c r="Z316" i="8" s="1"/>
  <c r="V318" i="8"/>
  <c r="AB318" i="8" s="1"/>
  <c r="U321" i="8"/>
  <c r="AA321" i="8" s="1"/>
  <c r="T270" i="8"/>
  <c r="Z270" i="8" s="1"/>
  <c r="V272" i="8"/>
  <c r="AB272" i="8" s="1"/>
  <c r="U286" i="8"/>
  <c r="AA286" i="8" s="1"/>
  <c r="T289" i="8"/>
  <c r="Z289" i="8" s="1"/>
  <c r="V291" i="8"/>
  <c r="AB291" i="8" s="1"/>
  <c r="U306" i="8"/>
  <c r="AA306" i="8" s="1"/>
  <c r="T309" i="8"/>
  <c r="Z309" i="8" s="1"/>
  <c r="U316" i="8"/>
  <c r="AA316" i="8" s="1"/>
  <c r="T319" i="8"/>
  <c r="Z319" i="8" s="1"/>
  <c r="V321" i="8"/>
  <c r="AB321" i="8" s="1"/>
  <c r="U270" i="8"/>
  <c r="AA270" i="8" s="1"/>
  <c r="V286" i="8"/>
  <c r="AB286" i="8" s="1"/>
  <c r="V306" i="8"/>
  <c r="AB306" i="8" s="1"/>
  <c r="V316" i="8"/>
  <c r="AB316" i="8" s="1"/>
  <c r="V218" i="8"/>
  <c r="AB218" i="8" s="1"/>
  <c r="U216" i="8"/>
  <c r="AA216" i="8" s="1"/>
  <c r="T216" i="8"/>
  <c r="Z216" i="8" s="1"/>
  <c r="U213" i="8"/>
  <c r="AA213" i="8" s="1"/>
  <c r="T213" i="8"/>
  <c r="Z213" i="8" s="1"/>
  <c r="V215" i="8"/>
  <c r="AB215" i="8" s="1"/>
  <c r="U204" i="8"/>
  <c r="AA204" i="8" s="1"/>
  <c r="T201" i="8"/>
  <c r="Z201" i="8" s="1"/>
  <c r="V203" i="8"/>
  <c r="AB203" i="8" s="1"/>
  <c r="U201" i="8"/>
  <c r="AA201" i="8" s="1"/>
  <c r="V201" i="8"/>
  <c r="AB201" i="8" s="1"/>
  <c r="T204" i="8"/>
  <c r="Z204" i="8" s="1"/>
  <c r="T169" i="8"/>
  <c r="Z169" i="8" s="1"/>
  <c r="U169" i="8"/>
  <c r="AA169" i="8" s="1"/>
  <c r="V165" i="8"/>
  <c r="AB165" i="8" s="1"/>
  <c r="V168" i="8"/>
  <c r="AB168" i="8" s="1"/>
  <c r="V188" i="8"/>
  <c r="AB188" i="8" s="1"/>
  <c r="T183" i="8"/>
  <c r="Z183" i="8" s="1"/>
  <c r="T156" i="8"/>
  <c r="Z156" i="8" s="1"/>
  <c r="T153" i="8"/>
  <c r="Z153" i="8" s="1"/>
  <c r="U158" i="8"/>
  <c r="AA158" i="8" s="1"/>
  <c r="T158" i="8"/>
  <c r="Z158" i="8" s="1"/>
  <c r="U155" i="8"/>
  <c r="AA155" i="8" s="1"/>
  <c r="V157" i="8"/>
  <c r="AB157" i="8" s="1"/>
  <c r="T155" i="8"/>
  <c r="Z155" i="8" s="1"/>
  <c r="V156" i="8"/>
  <c r="AB156" i="8" s="1"/>
  <c r="U157" i="8"/>
  <c r="AA157" i="8" s="1"/>
  <c r="V153" i="8"/>
  <c r="AB153" i="8" s="1"/>
  <c r="T157" i="8"/>
  <c r="Z157" i="8" s="1"/>
  <c r="U156" i="8"/>
  <c r="AA156" i="8" s="1"/>
  <c r="U153" i="8"/>
  <c r="AA153" i="8" s="1"/>
  <c r="V158" i="8"/>
  <c r="AB158" i="8" s="1"/>
  <c r="V155" i="8"/>
  <c r="AB155" i="8" s="1"/>
  <c r="V163" i="8"/>
  <c r="AB163" i="8" s="1"/>
  <c r="U163" i="8"/>
  <c r="AA163" i="8" s="1"/>
  <c r="T163" i="8"/>
  <c r="Z163" i="8" s="1"/>
  <c r="U162" i="8"/>
  <c r="AA162" i="8" s="1"/>
  <c r="V159" i="8"/>
  <c r="AB159" i="8" s="1"/>
  <c r="T161" i="8"/>
  <c r="Z161" i="8" s="1"/>
  <c r="T162" i="8"/>
  <c r="Z162" i="8" s="1"/>
  <c r="U159" i="8"/>
  <c r="AA159" i="8" s="1"/>
  <c r="U164" i="8"/>
  <c r="AA164" i="8" s="1"/>
  <c r="V161" i="8"/>
  <c r="AB161" i="8" s="1"/>
  <c r="T159" i="8"/>
  <c r="Z159" i="8" s="1"/>
  <c r="V164" i="8"/>
  <c r="AB164" i="8" s="1"/>
  <c r="U161" i="8"/>
  <c r="AA161" i="8" s="1"/>
  <c r="T164" i="8"/>
  <c r="Z164" i="8" s="1"/>
  <c r="V162" i="8"/>
  <c r="AB162" i="8" s="1"/>
  <c r="AE160" i="8"/>
  <c r="AE153" i="8"/>
  <c r="T174" i="8"/>
  <c r="Z174" i="8" s="1"/>
  <c r="T223" i="8"/>
  <c r="Z223" i="8" s="1"/>
  <c r="V222" i="8"/>
  <c r="AB222" i="8" s="1"/>
  <c r="U222" i="8"/>
  <c r="AA222" i="8" s="1"/>
  <c r="V219" i="8"/>
  <c r="AB219" i="8" s="1"/>
  <c r="V224" i="8"/>
  <c r="AB224" i="8" s="1"/>
  <c r="T222" i="8"/>
  <c r="Z222" i="8" s="1"/>
  <c r="U219" i="8"/>
  <c r="AA219" i="8" s="1"/>
  <c r="U224" i="8"/>
  <c r="AA224" i="8" s="1"/>
  <c r="V221" i="8"/>
  <c r="AB221" i="8" s="1"/>
  <c r="T219" i="8"/>
  <c r="Z219" i="8" s="1"/>
  <c r="T224" i="8"/>
  <c r="Z224" i="8" s="1"/>
  <c r="U221" i="8"/>
  <c r="AA221" i="8" s="1"/>
  <c r="V223" i="8"/>
  <c r="AB223" i="8" s="1"/>
  <c r="T221" i="8"/>
  <c r="Z221" i="8" s="1"/>
  <c r="U223" i="8"/>
  <c r="AA223" i="8" s="1"/>
  <c r="AE232" i="8"/>
  <c r="U230" i="8"/>
  <c r="AA230" i="8" s="1"/>
  <c r="V227" i="8"/>
  <c r="AB227" i="8" s="1"/>
  <c r="T230" i="8"/>
  <c r="Z230" i="8" s="1"/>
  <c r="U227" i="8"/>
  <c r="AA227" i="8" s="1"/>
  <c r="V229" i="8"/>
  <c r="AB229" i="8" s="1"/>
  <c r="T227" i="8"/>
  <c r="Z227" i="8" s="1"/>
  <c r="U229" i="8"/>
  <c r="AA229" i="8" s="1"/>
  <c r="T229" i="8"/>
  <c r="Z229" i="8" s="1"/>
  <c r="V228" i="8"/>
  <c r="AB228" i="8" s="1"/>
  <c r="V225" i="8"/>
  <c r="AB225" i="8" s="1"/>
  <c r="U228" i="8"/>
  <c r="AA228" i="8" s="1"/>
  <c r="U225" i="8"/>
  <c r="AA225" i="8" s="1"/>
  <c r="T242" i="8"/>
  <c r="Z242" i="8" s="1"/>
  <c r="U239" i="8"/>
  <c r="AA239" i="8" s="1"/>
  <c r="V241" i="8"/>
  <c r="AB241" i="8" s="1"/>
  <c r="T239" i="8"/>
  <c r="Z239" i="8" s="1"/>
  <c r="U241" i="8"/>
  <c r="AA241" i="8" s="1"/>
  <c r="T241" i="8"/>
  <c r="Z241" i="8" s="1"/>
  <c r="V240" i="8"/>
  <c r="AB240" i="8" s="1"/>
  <c r="V237" i="8"/>
  <c r="AB237" i="8" s="1"/>
  <c r="U240" i="8"/>
  <c r="AA240" i="8" s="1"/>
  <c r="U237" i="8"/>
  <c r="AA237" i="8" s="1"/>
  <c r="V242" i="8"/>
  <c r="AB242" i="8" s="1"/>
  <c r="T240" i="8"/>
  <c r="Z240" i="8" s="1"/>
  <c r="T237" i="8"/>
  <c r="Z237" i="8" s="1"/>
  <c r="V239" i="8"/>
  <c r="AB239" i="8" s="1"/>
  <c r="T209" i="8"/>
  <c r="Z209" i="8" s="1"/>
  <c r="V234" i="8"/>
  <c r="AB234" i="8" s="1"/>
  <c r="U234" i="8"/>
  <c r="AA234" i="8" s="1"/>
  <c r="V231" i="8"/>
  <c r="AB231" i="8" s="1"/>
  <c r="V236" i="8"/>
  <c r="AB236" i="8" s="1"/>
  <c r="T234" i="8"/>
  <c r="Z234" i="8" s="1"/>
  <c r="U231" i="8"/>
  <c r="AA231" i="8" s="1"/>
  <c r="U236" i="8"/>
  <c r="AA236" i="8" s="1"/>
  <c r="V233" i="8"/>
  <c r="AB233" i="8" s="1"/>
  <c r="T231" i="8"/>
  <c r="Z231" i="8" s="1"/>
  <c r="T236" i="8"/>
  <c r="Z236" i="8" s="1"/>
  <c r="U233" i="8"/>
  <c r="AA233" i="8" s="1"/>
  <c r="V235" i="8"/>
  <c r="AB235" i="8" s="1"/>
  <c r="T233" i="8"/>
  <c r="Z233" i="8" s="1"/>
  <c r="U235" i="8"/>
  <c r="AA235" i="8" s="1"/>
  <c r="T225" i="8"/>
  <c r="Z225" i="8" s="1"/>
  <c r="U188" i="8"/>
  <c r="AA188" i="8" s="1"/>
  <c r="V185" i="8"/>
  <c r="AB185" i="8" s="1"/>
  <c r="T188" i="8"/>
  <c r="Z188" i="8" s="1"/>
  <c r="U185" i="8"/>
  <c r="AA185" i="8" s="1"/>
  <c r="V187" i="8"/>
  <c r="AB187" i="8" s="1"/>
  <c r="T185" i="8"/>
  <c r="Z185" i="8" s="1"/>
  <c r="U187" i="8"/>
  <c r="AA187" i="8" s="1"/>
  <c r="T187" i="8"/>
  <c r="Z187" i="8" s="1"/>
  <c r="V186" i="8"/>
  <c r="AB186" i="8" s="1"/>
  <c r="V183" i="8"/>
  <c r="AB183" i="8" s="1"/>
  <c r="U186" i="8"/>
  <c r="AA186" i="8" s="1"/>
  <c r="U183" i="8"/>
  <c r="AA183" i="8" s="1"/>
  <c r="V199" i="8"/>
  <c r="AB199" i="8" s="1"/>
  <c r="T197" i="8"/>
  <c r="Z197" i="8" s="1"/>
  <c r="U199" i="8"/>
  <c r="AA199" i="8" s="1"/>
  <c r="T199" i="8"/>
  <c r="Z199" i="8" s="1"/>
  <c r="V198" i="8"/>
  <c r="AB198" i="8" s="1"/>
  <c r="U198" i="8"/>
  <c r="AA198" i="8" s="1"/>
  <c r="V195" i="8"/>
  <c r="AB195" i="8" s="1"/>
  <c r="V200" i="8"/>
  <c r="AB200" i="8" s="1"/>
  <c r="T198" i="8"/>
  <c r="Z198" i="8" s="1"/>
  <c r="U195" i="8"/>
  <c r="AA195" i="8" s="1"/>
  <c r="U200" i="8"/>
  <c r="AA200" i="8" s="1"/>
  <c r="V197" i="8"/>
  <c r="AB197" i="8" s="1"/>
  <c r="T195" i="8"/>
  <c r="Z195" i="8" s="1"/>
  <c r="U197" i="8"/>
  <c r="AA197" i="8" s="1"/>
  <c r="U211" i="8"/>
  <c r="AA211" i="8" s="1"/>
  <c r="T211" i="8"/>
  <c r="Z211" i="8" s="1"/>
  <c r="V210" i="8"/>
  <c r="AB210" i="8" s="1"/>
  <c r="V207" i="8"/>
  <c r="AB207" i="8" s="1"/>
  <c r="U210" i="8"/>
  <c r="AA210" i="8" s="1"/>
  <c r="U207" i="8"/>
  <c r="AA207" i="8" s="1"/>
  <c r="V212" i="8"/>
  <c r="AB212" i="8" s="1"/>
  <c r="T210" i="8"/>
  <c r="Z210" i="8" s="1"/>
  <c r="T207" i="8"/>
  <c r="Z207" i="8" s="1"/>
  <c r="U212" i="8"/>
  <c r="AA212" i="8" s="1"/>
  <c r="V209" i="8"/>
  <c r="AB209" i="8" s="1"/>
  <c r="T212" i="8"/>
  <c r="Z212" i="8" s="1"/>
  <c r="U209" i="8"/>
  <c r="AA209" i="8" s="1"/>
  <c r="T228" i="8"/>
  <c r="Z228" i="8" s="1"/>
  <c r="V230" i="8"/>
  <c r="AB230" i="8" s="1"/>
  <c r="U246" i="8"/>
  <c r="AA246" i="8" s="1"/>
  <c r="V243" i="8"/>
  <c r="AB243" i="8" s="1"/>
  <c r="V248" i="8"/>
  <c r="AB248" i="8" s="1"/>
  <c r="T246" i="8"/>
  <c r="Z246" i="8" s="1"/>
  <c r="U243" i="8"/>
  <c r="AA243" i="8" s="1"/>
  <c r="U248" i="8"/>
  <c r="AA248" i="8" s="1"/>
  <c r="V245" i="8"/>
  <c r="AB245" i="8" s="1"/>
  <c r="T243" i="8"/>
  <c r="Z243" i="8" s="1"/>
  <c r="T248" i="8"/>
  <c r="Z248" i="8" s="1"/>
  <c r="U245" i="8"/>
  <c r="AA245" i="8" s="1"/>
  <c r="V247" i="8"/>
  <c r="AB247" i="8" s="1"/>
  <c r="T245" i="8"/>
  <c r="Z245" i="8" s="1"/>
  <c r="U247" i="8"/>
  <c r="AA247" i="8" s="1"/>
  <c r="T247" i="8"/>
  <c r="Z247" i="8" s="1"/>
  <c r="AE178" i="8"/>
  <c r="AE177" i="8"/>
  <c r="AE251" i="8"/>
  <c r="H65" i="10" s="1"/>
  <c r="U176" i="8"/>
  <c r="AA176" i="8" s="1"/>
  <c r="V173" i="8"/>
  <c r="AB173" i="8" s="1"/>
  <c r="T176" i="8"/>
  <c r="Z176" i="8" s="1"/>
  <c r="U173" i="8"/>
  <c r="AA173" i="8" s="1"/>
  <c r="V175" i="8"/>
  <c r="AB175" i="8" s="1"/>
  <c r="T173" i="8"/>
  <c r="Z173" i="8" s="1"/>
  <c r="U175" i="8"/>
  <c r="AA175" i="8" s="1"/>
  <c r="T175" i="8"/>
  <c r="Z175" i="8" s="1"/>
  <c r="V174" i="8"/>
  <c r="AB174" i="8" s="1"/>
  <c r="V171" i="8"/>
  <c r="AB171" i="8" s="1"/>
  <c r="U174" i="8"/>
  <c r="AA174" i="8" s="1"/>
  <c r="U171" i="8"/>
  <c r="AA171" i="8" s="1"/>
  <c r="V192" i="8"/>
  <c r="AB192" i="8" s="1"/>
  <c r="U192" i="8"/>
  <c r="AA192" i="8" s="1"/>
  <c r="V189" i="8"/>
  <c r="AB189" i="8" s="1"/>
  <c r="V194" i="8"/>
  <c r="AB194" i="8" s="1"/>
  <c r="T192" i="8"/>
  <c r="Z192" i="8" s="1"/>
  <c r="U189" i="8"/>
  <c r="AA189" i="8" s="1"/>
  <c r="U194" i="8"/>
  <c r="AA194" i="8" s="1"/>
  <c r="V191" i="8"/>
  <c r="AB191" i="8" s="1"/>
  <c r="T189" i="8"/>
  <c r="Z189" i="8" s="1"/>
  <c r="T194" i="8"/>
  <c r="Z194" i="8" s="1"/>
  <c r="U191" i="8"/>
  <c r="AA191" i="8" s="1"/>
  <c r="V193" i="8"/>
  <c r="AB193" i="8" s="1"/>
  <c r="T191" i="8"/>
  <c r="Z191" i="8" s="1"/>
  <c r="U193" i="8"/>
  <c r="AA193" i="8" s="1"/>
  <c r="AE166" i="8"/>
  <c r="AE165" i="8"/>
  <c r="T181" i="8"/>
  <c r="Z181" i="8" s="1"/>
  <c r="V180" i="8"/>
  <c r="AB180" i="8" s="1"/>
  <c r="V177" i="8"/>
  <c r="AB177" i="8" s="1"/>
  <c r="U180" i="8"/>
  <c r="AA180" i="8" s="1"/>
  <c r="U177" i="8"/>
  <c r="AA177" i="8" s="1"/>
  <c r="V182" i="8"/>
  <c r="AB182" i="8" s="1"/>
  <c r="T180" i="8"/>
  <c r="Z180" i="8" s="1"/>
  <c r="T177" i="8"/>
  <c r="Z177" i="8" s="1"/>
  <c r="U182" i="8"/>
  <c r="AA182" i="8" s="1"/>
  <c r="V179" i="8"/>
  <c r="AB179" i="8" s="1"/>
  <c r="T182" i="8"/>
  <c r="Z182" i="8" s="1"/>
  <c r="U179" i="8"/>
  <c r="AA179" i="8" s="1"/>
  <c r="V181" i="8"/>
  <c r="AB181" i="8" s="1"/>
  <c r="T179" i="8"/>
  <c r="Z179" i="8" s="1"/>
  <c r="T171" i="8"/>
  <c r="Z171" i="8" s="1"/>
  <c r="U242" i="8"/>
  <c r="AA242" i="8" s="1"/>
  <c r="T167" i="8"/>
  <c r="Z167" i="8" s="1"/>
  <c r="V169" i="8"/>
  <c r="AB169" i="8" s="1"/>
  <c r="AE171" i="8"/>
  <c r="AE183" i="8"/>
  <c r="V204" i="8"/>
  <c r="AB204" i="8" s="1"/>
  <c r="V213" i="8"/>
  <c r="AB213" i="8" s="1"/>
  <c r="V216" i="8"/>
  <c r="AB216" i="8" s="1"/>
  <c r="AE225" i="8"/>
  <c r="U167" i="8"/>
  <c r="AA167" i="8" s="1"/>
  <c r="T170" i="8"/>
  <c r="Z170" i="8" s="1"/>
  <c r="T205" i="8"/>
  <c r="Z205" i="8" s="1"/>
  <c r="T217" i="8"/>
  <c r="Z217" i="8" s="1"/>
  <c r="V167" i="8"/>
  <c r="AB167" i="8" s="1"/>
  <c r="U170" i="8"/>
  <c r="AA170" i="8" s="1"/>
  <c r="U205" i="8"/>
  <c r="AA205" i="8" s="1"/>
  <c r="U217" i="8"/>
  <c r="AA217" i="8" s="1"/>
  <c r="T165" i="8"/>
  <c r="Z165" i="8" s="1"/>
  <c r="T168" i="8"/>
  <c r="Z168" i="8" s="1"/>
  <c r="V170" i="8"/>
  <c r="AB170" i="8" s="1"/>
  <c r="T203" i="8"/>
  <c r="Z203" i="8" s="1"/>
  <c r="V205" i="8"/>
  <c r="AB205" i="8" s="1"/>
  <c r="AE207" i="8"/>
  <c r="T215" i="8"/>
  <c r="Z215" i="8" s="1"/>
  <c r="V217" i="8"/>
  <c r="AB217" i="8" s="1"/>
  <c r="AE219" i="8"/>
  <c r="U165" i="8"/>
  <c r="AA165" i="8" s="1"/>
  <c r="U168" i="8"/>
  <c r="AA168" i="8" s="1"/>
  <c r="U203" i="8"/>
  <c r="AA203" i="8" s="1"/>
  <c r="T206" i="8"/>
  <c r="Z206" i="8" s="1"/>
  <c r="U215" i="8"/>
  <c r="AA215" i="8" s="1"/>
  <c r="T218" i="8"/>
  <c r="Z218" i="8" s="1"/>
  <c r="U206" i="8"/>
  <c r="AA206" i="8" s="1"/>
  <c r="U218" i="8"/>
  <c r="AA218" i="8" s="1"/>
  <c r="AA122" i="8"/>
  <c r="Z144" i="8"/>
  <c r="Z73" i="8"/>
  <c r="AE135" i="8"/>
  <c r="T62" i="8"/>
  <c r="Z62" i="8" s="1"/>
  <c r="V62" i="8"/>
  <c r="AB62" i="8" s="1"/>
  <c r="V65" i="8"/>
  <c r="AB65" i="8" s="1"/>
  <c r="AA82" i="8"/>
  <c r="V120" i="8"/>
  <c r="AB120" i="8" s="1"/>
  <c r="T91" i="8"/>
  <c r="Z91" i="8" s="1"/>
  <c r="U62" i="8"/>
  <c r="AA62" i="8" s="1"/>
  <c r="AE62" i="8"/>
  <c r="U65" i="8"/>
  <c r="AA65" i="8" s="1"/>
  <c r="T66" i="8"/>
  <c r="Z66" i="8" s="1"/>
  <c r="U66" i="8"/>
  <c r="AA66" i="8" s="1"/>
  <c r="T64" i="8"/>
  <c r="Z64" i="8" s="1"/>
  <c r="V66" i="8"/>
  <c r="AB66" i="8" s="1"/>
  <c r="U64" i="8"/>
  <c r="AA64" i="8" s="1"/>
  <c r="T67" i="8"/>
  <c r="Z67" i="8" s="1"/>
  <c r="V64" i="8"/>
  <c r="AB64" i="8" s="1"/>
  <c r="U67" i="8"/>
  <c r="AA67" i="8" s="1"/>
  <c r="T65" i="8"/>
  <c r="Z65" i="8" s="1"/>
  <c r="V55" i="8"/>
  <c r="AB55" i="8" s="1"/>
  <c r="U54" i="8"/>
  <c r="AA54" i="8" s="1"/>
  <c r="V52" i="8"/>
  <c r="AB52" i="8" s="1"/>
  <c r="V53" i="8"/>
  <c r="AB53" i="8" s="1"/>
  <c r="U55" i="8"/>
  <c r="AA55" i="8" s="1"/>
  <c r="V50" i="8"/>
  <c r="AB50" i="8" s="1"/>
  <c r="U115" i="8"/>
  <c r="AA115" i="8" s="1"/>
  <c r="U70" i="8"/>
  <c r="AA70" i="8" s="1"/>
  <c r="U88" i="8"/>
  <c r="AA88" i="8" s="1"/>
  <c r="V100" i="8"/>
  <c r="AB100" i="8" s="1"/>
  <c r="V112" i="8"/>
  <c r="AB112" i="8" s="1"/>
  <c r="U114" i="8"/>
  <c r="AA114" i="8" s="1"/>
  <c r="AE81" i="8"/>
  <c r="T90" i="8"/>
  <c r="Z90" i="8" s="1"/>
  <c r="AE105" i="8"/>
  <c r="U68" i="8"/>
  <c r="AA68" i="8" s="1"/>
  <c r="U103" i="8"/>
  <c r="AA103" i="8" s="1"/>
  <c r="V86" i="8"/>
  <c r="AB86" i="8" s="1"/>
  <c r="T98" i="8"/>
  <c r="Z98" i="8" s="1"/>
  <c r="T110" i="8"/>
  <c r="Z110" i="8" s="1"/>
  <c r="AE122" i="8"/>
  <c r="T134" i="8"/>
  <c r="Z134" i="8" s="1"/>
  <c r="V139" i="8"/>
  <c r="AB139" i="8" s="1"/>
  <c r="V73" i="8"/>
  <c r="AB73" i="8" s="1"/>
  <c r="U89" i="8"/>
  <c r="AA89" i="8" s="1"/>
  <c r="V110" i="8"/>
  <c r="AB110" i="8" s="1"/>
  <c r="V113" i="8"/>
  <c r="AB113" i="8" s="1"/>
  <c r="T137" i="8"/>
  <c r="Z137" i="8" s="1"/>
  <c r="T85" i="8"/>
  <c r="Z85" i="8" s="1"/>
  <c r="V74" i="8"/>
  <c r="AB74" i="8" s="1"/>
  <c r="U79" i="8"/>
  <c r="AA79" i="8" s="1"/>
  <c r="V77" i="8"/>
  <c r="AB77" i="8" s="1"/>
  <c r="V76" i="8"/>
  <c r="AB76" i="8" s="1"/>
  <c r="U78" i="8"/>
  <c r="AA78" i="8" s="1"/>
  <c r="V61" i="8"/>
  <c r="AB61" i="8" s="1"/>
  <c r="T61" i="8"/>
  <c r="Z61" i="8" s="1"/>
  <c r="T60" i="8"/>
  <c r="Z60" i="8" s="1"/>
  <c r="U59" i="8"/>
  <c r="AA59" i="8" s="1"/>
  <c r="V60" i="8"/>
  <c r="AB60" i="8" s="1"/>
  <c r="V59" i="8"/>
  <c r="AB59" i="8" s="1"/>
  <c r="V56" i="8"/>
  <c r="AB56" i="8" s="1"/>
  <c r="U60" i="8"/>
  <c r="AA60" i="8" s="1"/>
  <c r="U61" i="8"/>
  <c r="AA61" i="8" s="1"/>
  <c r="T59" i="8"/>
  <c r="Z59" i="8" s="1"/>
  <c r="U56" i="8"/>
  <c r="AA56" i="8" s="1"/>
  <c r="T56" i="8"/>
  <c r="Z56" i="8" s="1"/>
  <c r="V58" i="8"/>
  <c r="AB58" i="8" s="1"/>
  <c r="U58" i="8"/>
  <c r="AA58" i="8" s="1"/>
  <c r="T58" i="8"/>
  <c r="Z58" i="8" s="1"/>
  <c r="U108" i="8"/>
  <c r="AA108" i="8" s="1"/>
  <c r="T108" i="8"/>
  <c r="Z108" i="8" s="1"/>
  <c r="V107" i="8"/>
  <c r="AB107" i="8" s="1"/>
  <c r="V104" i="8"/>
  <c r="AB104" i="8" s="1"/>
  <c r="U107" i="8"/>
  <c r="AA107" i="8" s="1"/>
  <c r="U104" i="8"/>
  <c r="AA104" i="8" s="1"/>
  <c r="V109" i="8"/>
  <c r="AB109" i="8" s="1"/>
  <c r="T107" i="8"/>
  <c r="Z107" i="8" s="1"/>
  <c r="T104" i="8"/>
  <c r="Z104" i="8" s="1"/>
  <c r="U109" i="8"/>
  <c r="AA109" i="8" s="1"/>
  <c r="V106" i="8"/>
  <c r="AB106" i="8" s="1"/>
  <c r="V108" i="8"/>
  <c r="AB108" i="8" s="1"/>
  <c r="T106" i="8"/>
  <c r="Z106" i="8" s="1"/>
  <c r="T50" i="8"/>
  <c r="Z50" i="8" s="1"/>
  <c r="T53" i="8"/>
  <c r="Z53" i="8" s="1"/>
  <c r="U50" i="8"/>
  <c r="AA50" i="8" s="1"/>
  <c r="AE50" i="8"/>
  <c r="U53" i="8"/>
  <c r="AA53" i="8" s="1"/>
  <c r="AB79" i="8"/>
  <c r="U84" i="8"/>
  <c r="AA84" i="8" s="1"/>
  <c r="T84" i="8"/>
  <c r="Z84" i="8" s="1"/>
  <c r="V83" i="8"/>
  <c r="AB83" i="8" s="1"/>
  <c r="V80" i="8"/>
  <c r="AB80" i="8" s="1"/>
  <c r="U83" i="8"/>
  <c r="AA83" i="8" s="1"/>
  <c r="U80" i="8"/>
  <c r="AA80" i="8" s="1"/>
  <c r="V85" i="8"/>
  <c r="AB85" i="8" s="1"/>
  <c r="T83" i="8"/>
  <c r="Z83" i="8" s="1"/>
  <c r="T80" i="8"/>
  <c r="Z80" i="8" s="1"/>
  <c r="U85" i="8"/>
  <c r="AA85" i="8" s="1"/>
  <c r="V82" i="8"/>
  <c r="AB82" i="8" s="1"/>
  <c r="V84" i="8"/>
  <c r="AB84" i="8" s="1"/>
  <c r="T82" i="8"/>
  <c r="Z82" i="8" s="1"/>
  <c r="T54" i="8"/>
  <c r="Z54" i="8" s="1"/>
  <c r="T109" i="8"/>
  <c r="Z109" i="8" s="1"/>
  <c r="T120" i="8"/>
  <c r="Z120" i="8" s="1"/>
  <c r="V119" i="8"/>
  <c r="AB119" i="8" s="1"/>
  <c r="U119" i="8"/>
  <c r="AA119" i="8" s="1"/>
  <c r="V116" i="8"/>
  <c r="AB116" i="8" s="1"/>
  <c r="V121" i="8"/>
  <c r="AB121" i="8" s="1"/>
  <c r="T119" i="8"/>
  <c r="Z119" i="8" s="1"/>
  <c r="U116" i="8"/>
  <c r="AA116" i="8" s="1"/>
  <c r="U121" i="8"/>
  <c r="AA121" i="8" s="1"/>
  <c r="V118" i="8"/>
  <c r="AB118" i="8" s="1"/>
  <c r="T116" i="8"/>
  <c r="Z116" i="8" s="1"/>
  <c r="T121" i="8"/>
  <c r="Z121" i="8" s="1"/>
  <c r="U118" i="8"/>
  <c r="AA118" i="8" s="1"/>
  <c r="U120" i="8"/>
  <c r="AA120" i="8" s="1"/>
  <c r="U127" i="8"/>
  <c r="AA127" i="8" s="1"/>
  <c r="V124" i="8"/>
  <c r="AB124" i="8" s="1"/>
  <c r="T127" i="8"/>
  <c r="Z127" i="8" s="1"/>
  <c r="U124" i="8"/>
  <c r="AA124" i="8" s="1"/>
  <c r="V126" i="8"/>
  <c r="AB126" i="8" s="1"/>
  <c r="T124" i="8"/>
  <c r="Z124" i="8" s="1"/>
  <c r="U126" i="8"/>
  <c r="AA126" i="8" s="1"/>
  <c r="T126" i="8"/>
  <c r="Z126" i="8" s="1"/>
  <c r="V125" i="8"/>
  <c r="AB125" i="8" s="1"/>
  <c r="V122" i="8"/>
  <c r="AB122" i="8" s="1"/>
  <c r="V127" i="8"/>
  <c r="AB127" i="8" s="1"/>
  <c r="T125" i="8"/>
  <c r="Z125" i="8" s="1"/>
  <c r="T122" i="8"/>
  <c r="Z122" i="8" s="1"/>
  <c r="V131" i="8"/>
  <c r="AB131" i="8" s="1"/>
  <c r="U131" i="8"/>
  <c r="AA131" i="8" s="1"/>
  <c r="V128" i="8"/>
  <c r="AB128" i="8" s="1"/>
  <c r="V133" i="8"/>
  <c r="AB133" i="8" s="1"/>
  <c r="T131" i="8"/>
  <c r="Z131" i="8" s="1"/>
  <c r="U128" i="8"/>
  <c r="AA128" i="8" s="1"/>
  <c r="U133" i="8"/>
  <c r="AA133" i="8" s="1"/>
  <c r="V130" i="8"/>
  <c r="AB130" i="8" s="1"/>
  <c r="T128" i="8"/>
  <c r="Z128" i="8" s="1"/>
  <c r="T133" i="8"/>
  <c r="Z133" i="8" s="1"/>
  <c r="U130" i="8"/>
  <c r="AA130" i="8" s="1"/>
  <c r="V132" i="8"/>
  <c r="AB132" i="8" s="1"/>
  <c r="T130" i="8"/>
  <c r="Z130" i="8" s="1"/>
  <c r="T132" i="8"/>
  <c r="Z132" i="8" s="1"/>
  <c r="AE141" i="8"/>
  <c r="U72" i="8"/>
  <c r="AA72" i="8" s="1"/>
  <c r="V71" i="8"/>
  <c r="AB71" i="8" s="1"/>
  <c r="V68" i="8"/>
  <c r="AB68" i="8" s="1"/>
  <c r="U71" i="8"/>
  <c r="AA71" i="8" s="1"/>
  <c r="U73" i="8"/>
  <c r="AA73" i="8" s="1"/>
  <c r="V70" i="8"/>
  <c r="AB70" i="8" s="1"/>
  <c r="V72" i="8"/>
  <c r="AB72" i="8" s="1"/>
  <c r="T70" i="8"/>
  <c r="Z70" i="8" s="1"/>
  <c r="T72" i="8"/>
  <c r="Z72" i="8" s="1"/>
  <c r="AE56" i="8"/>
  <c r="U143" i="8"/>
  <c r="AA143" i="8" s="1"/>
  <c r="V140" i="8"/>
  <c r="AB140" i="8" s="1"/>
  <c r="V145" i="8"/>
  <c r="AB145" i="8" s="1"/>
  <c r="T143" i="8"/>
  <c r="Z143" i="8" s="1"/>
  <c r="U140" i="8"/>
  <c r="AA140" i="8" s="1"/>
  <c r="U145" i="8"/>
  <c r="AA145" i="8" s="1"/>
  <c r="V142" i="8"/>
  <c r="AB142" i="8" s="1"/>
  <c r="T140" i="8"/>
  <c r="Z140" i="8" s="1"/>
  <c r="T145" i="8"/>
  <c r="Z145" i="8" s="1"/>
  <c r="U142" i="8"/>
  <c r="AA142" i="8" s="1"/>
  <c r="V144" i="8"/>
  <c r="AB144" i="8" s="1"/>
  <c r="T142" i="8"/>
  <c r="Z142" i="8" s="1"/>
  <c r="U144" i="8"/>
  <c r="AA144" i="8" s="1"/>
  <c r="V143" i="8"/>
  <c r="AB143" i="8" s="1"/>
  <c r="T52" i="8"/>
  <c r="Z52" i="8" s="1"/>
  <c r="V54" i="8"/>
  <c r="AB54" i="8" s="1"/>
  <c r="T71" i="8"/>
  <c r="Z71" i="8" s="1"/>
  <c r="U52" i="8"/>
  <c r="AA52" i="8" s="1"/>
  <c r="T55" i="8"/>
  <c r="Z55" i="8" s="1"/>
  <c r="T68" i="8"/>
  <c r="Z68" i="8" s="1"/>
  <c r="AE75" i="8"/>
  <c r="AE74" i="8"/>
  <c r="V95" i="8"/>
  <c r="AB95" i="8" s="1"/>
  <c r="U95" i="8"/>
  <c r="AA95" i="8" s="1"/>
  <c r="V92" i="8"/>
  <c r="AB92" i="8" s="1"/>
  <c r="V97" i="8"/>
  <c r="AB97" i="8" s="1"/>
  <c r="T95" i="8"/>
  <c r="Z95" i="8" s="1"/>
  <c r="U92" i="8"/>
  <c r="AA92" i="8" s="1"/>
  <c r="U97" i="8"/>
  <c r="AA97" i="8" s="1"/>
  <c r="V94" i="8"/>
  <c r="AB94" i="8" s="1"/>
  <c r="T92" i="8"/>
  <c r="Z92" i="8" s="1"/>
  <c r="T97" i="8"/>
  <c r="Z97" i="8" s="1"/>
  <c r="U94" i="8"/>
  <c r="AA94" i="8" s="1"/>
  <c r="V96" i="8"/>
  <c r="AB96" i="8" s="1"/>
  <c r="T94" i="8"/>
  <c r="Z94" i="8" s="1"/>
  <c r="T96" i="8"/>
  <c r="Z96" i="8" s="1"/>
  <c r="U106" i="8"/>
  <c r="AA106" i="8" s="1"/>
  <c r="U125" i="8"/>
  <c r="AA125" i="8" s="1"/>
  <c r="U74" i="8"/>
  <c r="AA74" i="8" s="1"/>
  <c r="U77" i="8"/>
  <c r="AA77" i="8" s="1"/>
  <c r="U86" i="8"/>
  <c r="AA86" i="8" s="1"/>
  <c r="AE86" i="8"/>
  <c r="T89" i="8"/>
  <c r="Z89" i="8" s="1"/>
  <c r="V91" i="8"/>
  <c r="AB91" i="8" s="1"/>
  <c r="AE93" i="8"/>
  <c r="U100" i="8"/>
  <c r="AA100" i="8" s="1"/>
  <c r="T103" i="8"/>
  <c r="Z103" i="8" s="1"/>
  <c r="U110" i="8"/>
  <c r="AA110" i="8" s="1"/>
  <c r="AE110" i="8"/>
  <c r="U113" i="8"/>
  <c r="AA113" i="8" s="1"/>
  <c r="AE129" i="8"/>
  <c r="V136" i="8"/>
  <c r="AB136" i="8" s="1"/>
  <c r="U139" i="8"/>
  <c r="AA139" i="8" s="1"/>
  <c r="T78" i="8"/>
  <c r="Z78" i="8" s="1"/>
  <c r="V89" i="8"/>
  <c r="AB89" i="8" s="1"/>
  <c r="U98" i="8"/>
  <c r="AA98" i="8" s="1"/>
  <c r="AE98" i="8"/>
  <c r="T101" i="8"/>
  <c r="Z101" i="8" s="1"/>
  <c r="V103" i="8"/>
  <c r="AB103" i="8" s="1"/>
  <c r="T114" i="8"/>
  <c r="Z114" i="8" s="1"/>
  <c r="U134" i="8"/>
  <c r="AA134" i="8" s="1"/>
  <c r="U137" i="8"/>
  <c r="AA137" i="8" s="1"/>
  <c r="V98" i="8"/>
  <c r="AB98" i="8" s="1"/>
  <c r="U101" i="8"/>
  <c r="AA101" i="8" s="1"/>
  <c r="V134" i="8"/>
  <c r="AB134" i="8" s="1"/>
  <c r="V137" i="8"/>
  <c r="AB137" i="8" s="1"/>
  <c r="T76" i="8"/>
  <c r="Z76" i="8" s="1"/>
  <c r="V78" i="8"/>
  <c r="AB78" i="8" s="1"/>
  <c r="U90" i="8"/>
  <c r="AA90" i="8" s="1"/>
  <c r="V101" i="8"/>
  <c r="AB101" i="8" s="1"/>
  <c r="T112" i="8"/>
  <c r="Z112" i="8" s="1"/>
  <c r="V114" i="8"/>
  <c r="AB114" i="8" s="1"/>
  <c r="AE116" i="8"/>
  <c r="T138" i="8"/>
  <c r="Z138" i="8" s="1"/>
  <c r="U76" i="8"/>
  <c r="AA76" i="8" s="1"/>
  <c r="T79" i="8"/>
  <c r="Z79" i="8" s="1"/>
  <c r="T88" i="8"/>
  <c r="Z88" i="8" s="1"/>
  <c r="V90" i="8"/>
  <c r="AB90" i="8" s="1"/>
  <c r="T102" i="8"/>
  <c r="Z102" i="8" s="1"/>
  <c r="U112" i="8"/>
  <c r="AA112" i="8" s="1"/>
  <c r="T115" i="8"/>
  <c r="Z115" i="8" s="1"/>
  <c r="U138" i="8"/>
  <c r="AA138" i="8" s="1"/>
  <c r="U102" i="8"/>
  <c r="AA102" i="8" s="1"/>
  <c r="T136" i="8"/>
  <c r="Z136" i="8" s="1"/>
  <c r="V138" i="8"/>
  <c r="AB138" i="8" s="1"/>
  <c r="T74" i="8"/>
  <c r="Z74" i="8" s="1"/>
  <c r="T77" i="8"/>
  <c r="Z77" i="8" s="1"/>
  <c r="T86" i="8"/>
  <c r="Z86" i="8" s="1"/>
  <c r="V88" i="8"/>
  <c r="AB88" i="8" s="1"/>
  <c r="T100" i="8"/>
  <c r="Z100" i="8" s="1"/>
  <c r="T113" i="8"/>
  <c r="Z113" i="8" s="1"/>
  <c r="U136" i="8"/>
  <c r="AA136" i="8" s="1"/>
  <c r="AF216" i="8" l="1"/>
  <c r="AF309" i="8"/>
  <c r="AF91" i="8"/>
  <c r="AE323" i="8"/>
  <c r="J64" i="10" s="1"/>
  <c r="AF300" i="8"/>
  <c r="AE322" i="8"/>
  <c r="AF319" i="8"/>
  <c r="AF297" i="8"/>
  <c r="AF200" i="8"/>
  <c r="AF214" i="8"/>
  <c r="AF183" i="8"/>
  <c r="AF139" i="8"/>
  <c r="AE147" i="8"/>
  <c r="F64" i="10" s="1"/>
  <c r="AF283" i="8"/>
  <c r="AF273" i="8"/>
  <c r="AF224" i="8"/>
  <c r="AF282" i="8"/>
  <c r="AF73" i="8"/>
  <c r="AE146" i="8"/>
  <c r="AE250" i="8"/>
  <c r="H64" i="10" s="1"/>
  <c r="AF295" i="8"/>
  <c r="AF320" i="8"/>
  <c r="AF218" i="8"/>
  <c r="AF176" i="8"/>
  <c r="AF296" i="8"/>
  <c r="AF278" i="8"/>
  <c r="AF294" i="8"/>
  <c r="AF276" i="8"/>
  <c r="AF71" i="8"/>
  <c r="AF212" i="8"/>
  <c r="AF307" i="8"/>
  <c r="AF315" i="8"/>
  <c r="AF260" i="8"/>
  <c r="AF215" i="8"/>
  <c r="AF179" i="8"/>
  <c r="AF193" i="8"/>
  <c r="AF211" i="8"/>
  <c r="AF290" i="8"/>
  <c r="AF236" i="8"/>
  <c r="AF271" i="8"/>
  <c r="AF270" i="8"/>
  <c r="AF314" i="8"/>
  <c r="AF258" i="8"/>
  <c r="AF257" i="8"/>
  <c r="AF256" i="8"/>
  <c r="AF321" i="8"/>
  <c r="AF308" i="8"/>
  <c r="AF269" i="8"/>
  <c r="AF268" i="8"/>
  <c r="AF265" i="8"/>
  <c r="AF303" i="8"/>
  <c r="AF277" i="8"/>
  <c r="AF259" i="8"/>
  <c r="AF272" i="8"/>
  <c r="AF293" i="8"/>
  <c r="AF292" i="8"/>
  <c r="AF302" i="8"/>
  <c r="AF298" i="8"/>
  <c r="AF299" i="8"/>
  <c r="AF310" i="8"/>
  <c r="AF311" i="8"/>
  <c r="AF289" i="8"/>
  <c r="AF316" i="8"/>
  <c r="AF317" i="8"/>
  <c r="AF286" i="8"/>
  <c r="AF287" i="8"/>
  <c r="AF288" i="8"/>
  <c r="AF285" i="8"/>
  <c r="AF266" i="8"/>
  <c r="AF279" i="8"/>
  <c r="AF318" i="8"/>
  <c r="AF280" i="8"/>
  <c r="AF281" i="8"/>
  <c r="AF264" i="8"/>
  <c r="AF267" i="8"/>
  <c r="AF301" i="8"/>
  <c r="AF291" i="8"/>
  <c r="AF305" i="8"/>
  <c r="AF304" i="8"/>
  <c r="AF284" i="8"/>
  <c r="AF261" i="8"/>
  <c r="AF306" i="8"/>
  <c r="AF263" i="8"/>
  <c r="AF262" i="8"/>
  <c r="AF312" i="8"/>
  <c r="AF313" i="8"/>
  <c r="AF275" i="8"/>
  <c r="AF274" i="8"/>
  <c r="AF248" i="8"/>
  <c r="AF245" i="8"/>
  <c r="AF246" i="8"/>
  <c r="AF240" i="8"/>
  <c r="AF235" i="8"/>
  <c r="AF234" i="8"/>
  <c r="AF233" i="8"/>
  <c r="AF228" i="8"/>
  <c r="AF204" i="8"/>
  <c r="AF201" i="8"/>
  <c r="AF205" i="8"/>
  <c r="AF202" i="8"/>
  <c r="AF198" i="8"/>
  <c r="AF192" i="8"/>
  <c r="AF158" i="8"/>
  <c r="AF155" i="8"/>
  <c r="AF157" i="8"/>
  <c r="AF168" i="8"/>
  <c r="AF170" i="8"/>
  <c r="AF169" i="8"/>
  <c r="AF184" i="8"/>
  <c r="AF186" i="8"/>
  <c r="AF188" i="8"/>
  <c r="AF180" i="8"/>
  <c r="AF175" i="8"/>
  <c r="AF238" i="8"/>
  <c r="AF237" i="8"/>
  <c r="AF166" i="8"/>
  <c r="AF165" i="8"/>
  <c r="AF167" i="8"/>
  <c r="AF239" i="8"/>
  <c r="AF223" i="8"/>
  <c r="AF162" i="8"/>
  <c r="AF191" i="8"/>
  <c r="AF208" i="8"/>
  <c r="AF207" i="8"/>
  <c r="AF229" i="8"/>
  <c r="AF213" i="8"/>
  <c r="AF164" i="8"/>
  <c r="AF161" i="8"/>
  <c r="AF210" i="8"/>
  <c r="AF219" i="8"/>
  <c r="AF220" i="8"/>
  <c r="AF182" i="8"/>
  <c r="AF172" i="8"/>
  <c r="AF171" i="8"/>
  <c r="AF243" i="8"/>
  <c r="AF244" i="8"/>
  <c r="AF196" i="8"/>
  <c r="AF195" i="8"/>
  <c r="AF231" i="8"/>
  <c r="AF232" i="8"/>
  <c r="AF242" i="8"/>
  <c r="AF227" i="8"/>
  <c r="AF221" i="8"/>
  <c r="AF222" i="8"/>
  <c r="AF206" i="8"/>
  <c r="AF181" i="8"/>
  <c r="AF194" i="8"/>
  <c r="AF173" i="8"/>
  <c r="AF199" i="8"/>
  <c r="AF187" i="8"/>
  <c r="AF226" i="8"/>
  <c r="AF225" i="8"/>
  <c r="AF174" i="8"/>
  <c r="AF159" i="8"/>
  <c r="AF160" i="8"/>
  <c r="AF163" i="8"/>
  <c r="AF154" i="8"/>
  <c r="AF153" i="8"/>
  <c r="AF203" i="8"/>
  <c r="AF217" i="8"/>
  <c r="AF177" i="8"/>
  <c r="AF178" i="8"/>
  <c r="AF189" i="8"/>
  <c r="AF190" i="8"/>
  <c r="AF247" i="8"/>
  <c r="AF209" i="8"/>
  <c r="AE249" i="8"/>
  <c r="AF156" i="8"/>
  <c r="AF197" i="8"/>
  <c r="AF185" i="8"/>
  <c r="AF241" i="8"/>
  <c r="AF230" i="8"/>
  <c r="AF144" i="8"/>
  <c r="AF65" i="8"/>
  <c r="AF55" i="8"/>
  <c r="AF62" i="8"/>
  <c r="AF133" i="8"/>
  <c r="AF135" i="8"/>
  <c r="AF119" i="8"/>
  <c r="AF118" i="8"/>
  <c r="AF110" i="8"/>
  <c r="AF115" i="8"/>
  <c r="AF109" i="8"/>
  <c r="AF100" i="8"/>
  <c r="AF63" i="8"/>
  <c r="AF97" i="8"/>
  <c r="AF64" i="8"/>
  <c r="AF66" i="8"/>
  <c r="AF67" i="8"/>
  <c r="AF137" i="8"/>
  <c r="AF134" i="8"/>
  <c r="AF52" i="8"/>
  <c r="AF53" i="8"/>
  <c r="AF90" i="8"/>
  <c r="AF101" i="8"/>
  <c r="AF106" i="8"/>
  <c r="AF89" i="8"/>
  <c r="AF96" i="8"/>
  <c r="AF99" i="8"/>
  <c r="AF130" i="8"/>
  <c r="AF85" i="8"/>
  <c r="AF79" i="8"/>
  <c r="AF76" i="8"/>
  <c r="AF70" i="8"/>
  <c r="AF58" i="8"/>
  <c r="AF59" i="8"/>
  <c r="AF145" i="8"/>
  <c r="AF126" i="8"/>
  <c r="AF54" i="8"/>
  <c r="AF84" i="8"/>
  <c r="AF50" i="8"/>
  <c r="AF51" i="8"/>
  <c r="AF92" i="8"/>
  <c r="AF93" i="8"/>
  <c r="AF140" i="8"/>
  <c r="AF141" i="8"/>
  <c r="AF128" i="8"/>
  <c r="AF129" i="8"/>
  <c r="AF124" i="8"/>
  <c r="AF121" i="8"/>
  <c r="AF98" i="8"/>
  <c r="AF83" i="8"/>
  <c r="AF87" i="8"/>
  <c r="AF86" i="8"/>
  <c r="AF88" i="8"/>
  <c r="AF81" i="8"/>
  <c r="AF80" i="8"/>
  <c r="AF77" i="8"/>
  <c r="AF75" i="8"/>
  <c r="AF74" i="8"/>
  <c r="AF72" i="8"/>
  <c r="AF123" i="8"/>
  <c r="AF122" i="8"/>
  <c r="AF116" i="8"/>
  <c r="AF117" i="8"/>
  <c r="AF125" i="8"/>
  <c r="AF120" i="8"/>
  <c r="AF108" i="8"/>
  <c r="AF56" i="8"/>
  <c r="AF57" i="8"/>
  <c r="AF113" i="8"/>
  <c r="AF138" i="8"/>
  <c r="AF69" i="8"/>
  <c r="AF68" i="8"/>
  <c r="AF136" i="8"/>
  <c r="AF114" i="8"/>
  <c r="AF103" i="8"/>
  <c r="AF94" i="8"/>
  <c r="AF95" i="8"/>
  <c r="AF142" i="8"/>
  <c r="AF143" i="8"/>
  <c r="AF132" i="8"/>
  <c r="AF127" i="8"/>
  <c r="AF111" i="8"/>
  <c r="AF82" i="8"/>
  <c r="AF105" i="8"/>
  <c r="AF104" i="8"/>
  <c r="AF60" i="8"/>
  <c r="AF131" i="8"/>
  <c r="AF107" i="8"/>
  <c r="AF61" i="8"/>
  <c r="AF78" i="8"/>
  <c r="AF102" i="8"/>
  <c r="AF112" i="8"/>
  <c r="J63" i="10" l="1"/>
  <c r="J69" i="10" s="1"/>
  <c r="AG327" i="8"/>
  <c r="J70" i="10" s="1"/>
  <c r="H63" i="10"/>
  <c r="H69" i="10" s="1"/>
  <c r="AG254" i="8"/>
  <c r="H70" i="10" s="1"/>
  <c r="F63" i="10"/>
  <c r="F69" i="10" s="1"/>
  <c r="AG151" i="8"/>
  <c r="F70" i="10" s="1"/>
  <c r="AF323" i="8"/>
  <c r="K64" i="10" s="1"/>
  <c r="AF324" i="8"/>
  <c r="K65" i="10" s="1"/>
  <c r="AF327" i="8"/>
  <c r="K68" i="10" s="1"/>
  <c r="AF326" i="8"/>
  <c r="K67" i="10" s="1"/>
  <c r="AF325" i="8"/>
  <c r="K66" i="10" s="1"/>
  <c r="K92" i="10" s="1"/>
  <c r="AF322" i="8"/>
  <c r="AF146" i="8"/>
  <c r="AF150" i="8"/>
  <c r="G67" i="10" s="1"/>
  <c r="AF149" i="8"/>
  <c r="G66" i="10" s="1"/>
  <c r="G92" i="10" s="1"/>
  <c r="AF148" i="8"/>
  <c r="G65" i="10" s="1"/>
  <c r="AF151" i="8"/>
  <c r="AF249" i="8"/>
  <c r="AF147" i="8"/>
  <c r="G64" i="10" s="1"/>
  <c r="AF254" i="8"/>
  <c r="I68" i="10" s="1"/>
  <c r="AF251" i="8"/>
  <c r="I65" i="10" s="1"/>
  <c r="AF252" i="8"/>
  <c r="I66" i="10" s="1"/>
  <c r="I92" i="10" s="1"/>
  <c r="AF253" i="8"/>
  <c r="I67" i="10" s="1"/>
  <c r="AF250" i="8"/>
  <c r="I64" i="10" s="1"/>
  <c r="O63" i="7"/>
  <c r="K14" i="10" s="1"/>
  <c r="K47" i="10" s="1"/>
  <c r="K86" i="10" s="1"/>
  <c r="N63" i="7"/>
  <c r="J14" i="10" s="1"/>
  <c r="J47" i="10" s="1"/>
  <c r="J86" i="10" s="1"/>
  <c r="T62" i="7"/>
  <c r="O62" i="7"/>
  <c r="K13" i="10" s="1"/>
  <c r="K53" i="10" s="1"/>
  <c r="N62" i="7"/>
  <c r="J13" i="10" s="1"/>
  <c r="J53" i="10" s="1"/>
  <c r="O59" i="7"/>
  <c r="I14" i="10" s="1"/>
  <c r="I47" i="10" s="1"/>
  <c r="I86" i="10" s="1"/>
  <c r="N59" i="7"/>
  <c r="H14" i="10" s="1"/>
  <c r="H47" i="10" s="1"/>
  <c r="H86" i="10" s="1"/>
  <c r="T58" i="7"/>
  <c r="O58" i="7"/>
  <c r="I13" i="10" s="1"/>
  <c r="I53" i="10" s="1"/>
  <c r="N58" i="7"/>
  <c r="G68" i="10" l="1"/>
  <c r="F71" i="10"/>
  <c r="J71" i="10"/>
  <c r="K63" i="10"/>
  <c r="K69" i="10" s="1"/>
  <c r="AH327" i="8"/>
  <c r="K70" i="10" s="1"/>
  <c r="H71" i="10"/>
  <c r="P59" i="7"/>
  <c r="H13" i="10"/>
  <c r="H53" i="10" s="1"/>
  <c r="I63" i="10"/>
  <c r="I69" i="10" s="1"/>
  <c r="AH254" i="8"/>
  <c r="I70" i="10" s="1"/>
  <c r="AH151" i="8"/>
  <c r="G70" i="10" s="1"/>
  <c r="G63" i="10"/>
  <c r="Q59" i="7"/>
  <c r="Q63" i="7"/>
  <c r="P63" i="7"/>
  <c r="O55" i="7"/>
  <c r="G14" i="10" s="1"/>
  <c r="G47" i="10" s="1"/>
  <c r="G86" i="10" s="1"/>
  <c r="N55" i="7"/>
  <c r="F14" i="10" s="1"/>
  <c r="F47" i="10" s="1"/>
  <c r="F86" i="10" s="1"/>
  <c r="T54" i="7"/>
  <c r="O54" i="7"/>
  <c r="G13" i="10" s="1"/>
  <c r="G53" i="10" s="1"/>
  <c r="N54" i="7"/>
  <c r="K48" i="5"/>
  <c r="I12" i="10" s="1"/>
  <c r="I48" i="10" s="1"/>
  <c r="J48" i="5"/>
  <c r="H12" i="10" s="1"/>
  <c r="H48" i="10" s="1"/>
  <c r="K47" i="5"/>
  <c r="I11" i="10" s="1"/>
  <c r="J47" i="5"/>
  <c r="H11" i="10" s="1"/>
  <c r="K46" i="5"/>
  <c r="I10" i="10" s="1"/>
  <c r="I41" i="10" s="1"/>
  <c r="I80" i="10" s="1"/>
  <c r="J46" i="5"/>
  <c r="H10" i="10" s="1"/>
  <c r="H41" i="10" s="1"/>
  <c r="H80" i="10" s="1"/>
  <c r="K45" i="5"/>
  <c r="I9" i="10" s="1"/>
  <c r="I50" i="10" s="1"/>
  <c r="I89" i="10" s="1"/>
  <c r="J45" i="5"/>
  <c r="H9" i="10" s="1"/>
  <c r="H50" i="10" s="1"/>
  <c r="H89" i="10" s="1"/>
  <c r="K44" i="5"/>
  <c r="I8" i="10" s="1"/>
  <c r="I42" i="10" s="1"/>
  <c r="I81" i="10" s="1"/>
  <c r="J44" i="5"/>
  <c r="H8" i="10" s="1"/>
  <c r="H42" i="10" s="1"/>
  <c r="H81" i="10" s="1"/>
  <c r="K43" i="5"/>
  <c r="I7" i="10" s="1"/>
  <c r="I43" i="10" s="1"/>
  <c r="J43" i="5"/>
  <c r="H7" i="10" s="1"/>
  <c r="H43" i="10" s="1"/>
  <c r="K42" i="5"/>
  <c r="J42" i="5"/>
  <c r="K57" i="5"/>
  <c r="K12" i="10" s="1"/>
  <c r="K48" i="10" s="1"/>
  <c r="J57" i="5"/>
  <c r="J12" i="10" s="1"/>
  <c r="J48" i="10" s="1"/>
  <c r="K56" i="5"/>
  <c r="K11" i="10" s="1"/>
  <c r="J56" i="5"/>
  <c r="J11" i="10" s="1"/>
  <c r="K55" i="5"/>
  <c r="K10" i="10" s="1"/>
  <c r="K41" i="10" s="1"/>
  <c r="K80" i="10" s="1"/>
  <c r="J55" i="5"/>
  <c r="J10" i="10" s="1"/>
  <c r="J41" i="10" s="1"/>
  <c r="J80" i="10" s="1"/>
  <c r="K54" i="5"/>
  <c r="K9" i="10" s="1"/>
  <c r="K50" i="10" s="1"/>
  <c r="K89" i="10" s="1"/>
  <c r="J54" i="5"/>
  <c r="J9" i="10" s="1"/>
  <c r="J50" i="10" s="1"/>
  <c r="J89" i="10" s="1"/>
  <c r="K53" i="5"/>
  <c r="K8" i="10" s="1"/>
  <c r="K42" i="10" s="1"/>
  <c r="K81" i="10" s="1"/>
  <c r="J53" i="5"/>
  <c r="J8" i="10" s="1"/>
  <c r="J42" i="10" s="1"/>
  <c r="J81" i="10" s="1"/>
  <c r="K52" i="5"/>
  <c r="K7" i="10" s="1"/>
  <c r="K43" i="10" s="1"/>
  <c r="J52" i="5"/>
  <c r="J7" i="10" s="1"/>
  <c r="J43" i="10" s="1"/>
  <c r="K51" i="5"/>
  <c r="J51" i="5"/>
  <c r="K38" i="5"/>
  <c r="G11" i="10" s="1"/>
  <c r="K36" i="5"/>
  <c r="G9" i="10" s="1"/>
  <c r="G50" i="10" s="1"/>
  <c r="G89" i="10" s="1"/>
  <c r="K35" i="5"/>
  <c r="G8" i="10" s="1"/>
  <c r="G42" i="10" s="1"/>
  <c r="G81" i="10" s="1"/>
  <c r="K34" i="5"/>
  <c r="G7" i="10" s="1"/>
  <c r="G43" i="10" s="1"/>
  <c r="K33" i="5"/>
  <c r="J35" i="5"/>
  <c r="F8" i="10" s="1"/>
  <c r="F42" i="10" s="1"/>
  <c r="F81" i="10" s="1"/>
  <c r="J33" i="5"/>
  <c r="K39" i="5"/>
  <c r="G12" i="10" s="1"/>
  <c r="G48" i="10" s="1"/>
  <c r="J39" i="5"/>
  <c r="F12" i="10" s="1"/>
  <c r="F48" i="10" s="1"/>
  <c r="J38" i="5"/>
  <c r="F11" i="10" s="1"/>
  <c r="K37" i="5"/>
  <c r="G10" i="10" s="1"/>
  <c r="G41" i="10" s="1"/>
  <c r="G80" i="10" s="1"/>
  <c r="J37" i="5"/>
  <c r="F10" i="10" s="1"/>
  <c r="F41" i="10" s="1"/>
  <c r="F80" i="10" s="1"/>
  <c r="J36" i="5"/>
  <c r="F9" i="10" s="1"/>
  <c r="F50" i="10" s="1"/>
  <c r="F89" i="10" s="1"/>
  <c r="J34" i="5"/>
  <c r="F7" i="10" s="1"/>
  <c r="F43" i="10" s="1"/>
  <c r="G69" i="10" l="1"/>
  <c r="G71" i="10" s="1"/>
  <c r="I71" i="10"/>
  <c r="L39" i="5"/>
  <c r="F6" i="10"/>
  <c r="F49" i="10" s="1"/>
  <c r="F88" i="10" s="1"/>
  <c r="M39" i="5"/>
  <c r="G6" i="10"/>
  <c r="G49" i="10" s="1"/>
  <c r="G88" i="10" s="1"/>
  <c r="H6" i="10"/>
  <c r="H49" i="10" s="1"/>
  <c r="H88" i="10" s="1"/>
  <c r="L48" i="5"/>
  <c r="H32" i="10" s="1"/>
  <c r="K6" i="10"/>
  <c r="K49" i="10" s="1"/>
  <c r="K88" i="10" s="1"/>
  <c r="M57" i="5"/>
  <c r="K32" i="10" s="1"/>
  <c r="P55" i="7"/>
  <c r="F13" i="10"/>
  <c r="F53" i="10" s="1"/>
  <c r="J6" i="10"/>
  <c r="J49" i="10" s="1"/>
  <c r="J88" i="10" s="1"/>
  <c r="L57" i="5"/>
  <c r="J32" i="10" s="1"/>
  <c r="M48" i="5"/>
  <c r="I32" i="10" s="1"/>
  <c r="I6" i="10"/>
  <c r="I49" i="10" s="1"/>
  <c r="I88" i="10" s="1"/>
  <c r="K71" i="10"/>
  <c r="Q55" i="7"/>
  <c r="I84" i="10"/>
  <c r="I85" i="10"/>
  <c r="I52" i="10"/>
  <c r="I91" i="10" s="1"/>
  <c r="I87" i="10"/>
  <c r="I90" i="10"/>
  <c r="I83" i="10"/>
  <c r="I93" i="10"/>
  <c r="K52" i="10"/>
  <c r="K91" i="10" s="1"/>
  <c r="K87" i="10"/>
  <c r="K90" i="10"/>
  <c r="K83" i="10"/>
  <c r="K93" i="10"/>
  <c r="K84" i="10"/>
  <c r="K85" i="10"/>
  <c r="G52" i="10"/>
  <c r="G91" i="10" s="1"/>
  <c r="G87" i="10"/>
  <c r="G93" i="10"/>
  <c r="G90" i="10"/>
  <c r="G83" i="10"/>
  <c r="G84" i="10"/>
  <c r="G85" i="10"/>
  <c r="R54" i="4"/>
  <c r="Q54" i="4"/>
  <c r="R66" i="4"/>
  <c r="Q66" i="4"/>
  <c r="R42" i="4"/>
  <c r="Q42" i="4"/>
  <c r="R63" i="4"/>
  <c r="Q63" i="4"/>
  <c r="R51" i="4"/>
  <c r="Q51" i="4"/>
  <c r="R50" i="4"/>
  <c r="Q50" i="4"/>
  <c r="R39" i="4"/>
  <c r="Q39" i="4"/>
  <c r="R38" i="4"/>
  <c r="Q38" i="4"/>
  <c r="R49" i="4"/>
  <c r="Q49" i="4"/>
  <c r="R37" i="4"/>
  <c r="Q37" i="4"/>
  <c r="R47" i="4"/>
  <c r="R59" i="4"/>
  <c r="R35" i="4"/>
  <c r="Q59" i="4"/>
  <c r="Q47" i="4"/>
  <c r="Q35" i="4"/>
  <c r="T51" i="3"/>
  <c r="Q45" i="3"/>
  <c r="T45" i="3"/>
  <c r="T44" i="3"/>
  <c r="Q38" i="3"/>
  <c r="T38" i="3"/>
  <c r="T37" i="3"/>
  <c r="I44" i="2"/>
  <c r="P44" i="2" s="1"/>
  <c r="O44" i="2"/>
  <c r="I40" i="2"/>
  <c r="P40" i="2" s="1"/>
  <c r="O40" i="2"/>
  <c r="O39" i="2"/>
  <c r="O41" i="2" s="1"/>
  <c r="I35" i="2"/>
  <c r="P35" i="2" s="1"/>
  <c r="I34" i="2"/>
  <c r="P34" i="2" s="1"/>
  <c r="P36" i="2" s="1"/>
  <c r="O35" i="2"/>
  <c r="O34" i="2"/>
  <c r="O36" i="2" s="1"/>
  <c r="H36" i="1"/>
  <c r="P36" i="1" s="1"/>
  <c r="O37" i="1"/>
  <c r="O36" i="1"/>
  <c r="H32" i="1"/>
  <c r="P32" i="1" s="1"/>
  <c r="H31" i="1"/>
  <c r="P31" i="1" s="1"/>
  <c r="O32" i="1"/>
  <c r="O31" i="1"/>
  <c r="F32" i="10" l="1"/>
  <c r="G32" i="10"/>
  <c r="R68" i="4"/>
  <c r="K4" i="10" s="1"/>
  <c r="R56" i="4"/>
  <c r="T56" i="4" s="1"/>
  <c r="Q56" i="4"/>
  <c r="S56" i="4" s="1"/>
  <c r="Q68" i="4"/>
  <c r="S68" i="4" s="1"/>
  <c r="Q44" i="4"/>
  <c r="S44" i="4" s="1"/>
  <c r="R44" i="4"/>
  <c r="T44" i="4" s="1"/>
  <c r="V48" i="3"/>
  <c r="H5" i="10"/>
  <c r="V53" i="3"/>
  <c r="J5" i="10"/>
  <c r="I82" i="10"/>
  <c r="G82" i="10"/>
  <c r="V41" i="3"/>
  <c r="F5" i="10"/>
  <c r="Q36" i="2"/>
  <c r="K82" i="10"/>
  <c r="Q41" i="2"/>
  <c r="V41" i="2"/>
  <c r="R36" i="2"/>
  <c r="O38" i="1"/>
  <c r="O33" i="1"/>
  <c r="H93" i="10"/>
  <c r="H84" i="10"/>
  <c r="H85" i="10"/>
  <c r="H52" i="10"/>
  <c r="H91" i="10" s="1"/>
  <c r="H87" i="10"/>
  <c r="H90" i="10"/>
  <c r="H83" i="10"/>
  <c r="J52" i="10"/>
  <c r="J91" i="10" s="1"/>
  <c r="J87" i="10"/>
  <c r="J90" i="10"/>
  <c r="J83" i="10"/>
  <c r="J93" i="10"/>
  <c r="J84" i="10"/>
  <c r="J85" i="10"/>
  <c r="F91" i="10"/>
  <c r="F87" i="10"/>
  <c r="F90" i="10"/>
  <c r="F83" i="10"/>
  <c r="F93" i="10"/>
  <c r="F84" i="10"/>
  <c r="F85" i="10"/>
  <c r="Q44" i="3"/>
  <c r="U38" i="3"/>
  <c r="Q51" i="3"/>
  <c r="U45" i="3"/>
  <c r="Q37" i="3"/>
  <c r="I39" i="2"/>
  <c r="P39" i="2" s="1"/>
  <c r="H37" i="1"/>
  <c r="P37" i="1" s="1"/>
  <c r="P38" i="1" s="1"/>
  <c r="P33" i="1"/>
  <c r="T68" i="4" l="1"/>
  <c r="P41" i="2"/>
  <c r="R41" i="2" s="1"/>
  <c r="J54" i="10"/>
  <c r="J94" i="10" s="1"/>
  <c r="R33" i="1"/>
  <c r="G4" i="10"/>
  <c r="H82" i="10"/>
  <c r="Q33" i="1"/>
  <c r="F4" i="10"/>
  <c r="R38" i="1"/>
  <c r="I4" i="10"/>
  <c r="F82" i="10"/>
  <c r="J82" i="10"/>
  <c r="Q38" i="1"/>
  <c r="H4" i="10"/>
  <c r="H54" i="10" s="1"/>
  <c r="H94" i="10" s="1"/>
  <c r="U51" i="3"/>
  <c r="U44" i="3"/>
  <c r="U37" i="3"/>
  <c r="H95" i="10" l="1"/>
  <c r="J95" i="10"/>
  <c r="J31" i="10"/>
  <c r="J55" i="10"/>
  <c r="H31" i="10"/>
  <c r="I5" i="10"/>
  <c r="I54" i="10" s="1"/>
  <c r="I94" i="10" s="1"/>
  <c r="W48" i="3"/>
  <c r="H55" i="10"/>
  <c r="F54" i="10"/>
  <c r="F94" i="10" s="1"/>
  <c r="F31" i="10"/>
  <c r="G5" i="10"/>
  <c r="G54" i="10" s="1"/>
  <c r="G94" i="10" s="1"/>
  <c r="W41" i="3"/>
  <c r="K5" i="10"/>
  <c r="K54" i="10" s="1"/>
  <c r="K94" i="10" s="1"/>
  <c r="K95" i="10" s="1"/>
  <c r="W53" i="3"/>
  <c r="F55" i="10" l="1"/>
  <c r="F56" i="10" s="1"/>
  <c r="F95" i="10"/>
  <c r="I31" i="10"/>
  <c r="I33" i="10" s="1"/>
  <c r="I55" i="10"/>
  <c r="I95" i="10"/>
  <c r="G55" i="10"/>
  <c r="G95" i="10"/>
  <c r="K31" i="10"/>
  <c r="K33" i="10" s="1"/>
  <c r="H72" i="10"/>
  <c r="J72" i="10"/>
  <c r="K55" i="10"/>
  <c r="H33" i="10"/>
  <c r="H56" i="10"/>
  <c r="G31" i="10"/>
  <c r="J33" i="10"/>
  <c r="J56" i="10"/>
  <c r="F33" i="10"/>
  <c r="I72" i="10" l="1"/>
  <c r="K56" i="10"/>
  <c r="I56" i="10"/>
  <c r="G72" i="10"/>
  <c r="K72" i="10"/>
  <c r="F72" i="10"/>
  <c r="G56" i="10"/>
  <c r="G33" i="10"/>
</calcChain>
</file>

<file path=xl/sharedStrings.xml><?xml version="1.0" encoding="utf-8"?>
<sst xmlns="http://schemas.openxmlformats.org/spreadsheetml/2006/main" count="1562" uniqueCount="436">
  <si>
    <t>Земляные работы</t>
  </si>
  <si>
    <t>№ ист.</t>
  </si>
  <si>
    <t>Наименование производства</t>
  </si>
  <si>
    <t>Наименование материала</t>
  </si>
  <si>
    <r>
      <t>q</t>
    </r>
    <r>
      <rPr>
        <vertAlign val="subscript"/>
        <sz val="10"/>
        <rFont val="Times New Roman"/>
        <family val="1"/>
        <charset val="204"/>
      </rPr>
      <t>уд, г/т</t>
    </r>
  </si>
  <si>
    <r>
      <t>γ, т/м</t>
    </r>
    <r>
      <rPr>
        <vertAlign val="superscript"/>
        <sz val="10"/>
        <rFont val="Times New Roman"/>
        <family val="1"/>
        <charset val="204"/>
      </rPr>
      <t>3</t>
    </r>
  </si>
  <si>
    <r>
      <t>V, м</t>
    </r>
    <r>
      <rPr>
        <vertAlign val="superscript"/>
        <sz val="10"/>
        <rFont val="Times New Roman"/>
        <family val="1"/>
        <charset val="204"/>
      </rPr>
      <t>3</t>
    </r>
  </si>
  <si>
    <r>
      <t>t</t>
    </r>
    <r>
      <rPr>
        <vertAlign val="subscript"/>
        <sz val="10"/>
        <rFont val="Times New Roman"/>
        <family val="1"/>
        <charset val="204"/>
      </rPr>
      <t>см</t>
    </r>
    <r>
      <rPr>
        <sz val="10"/>
        <rFont val="Times New Roman"/>
        <family val="1"/>
        <charset val="204"/>
      </rPr>
      <t>, ч</t>
    </r>
  </si>
  <si>
    <r>
      <t>n</t>
    </r>
    <r>
      <rPr>
        <vertAlign val="subscript"/>
        <sz val="10"/>
        <rFont val="Times New Roman"/>
        <family val="1"/>
        <charset val="204"/>
      </rPr>
      <t>cм</t>
    </r>
    <r>
      <rPr>
        <sz val="10"/>
        <rFont val="Times New Roman"/>
        <family val="1"/>
        <charset val="204"/>
      </rPr>
      <t>, см/год</t>
    </r>
  </si>
  <si>
    <r>
      <t>t</t>
    </r>
    <r>
      <rPr>
        <vertAlign val="subscript"/>
        <sz val="10"/>
        <rFont val="Times New Roman"/>
        <family val="1"/>
        <charset val="204"/>
      </rPr>
      <t>цб</t>
    </r>
    <r>
      <rPr>
        <sz val="10"/>
        <rFont val="Times New Roman"/>
        <family val="1"/>
        <charset val="204"/>
      </rPr>
      <t>, с</t>
    </r>
  </si>
  <si>
    <r>
      <t>К</t>
    </r>
    <r>
      <rPr>
        <vertAlign val="subscript"/>
        <sz val="10"/>
        <rFont val="Times New Roman"/>
        <family val="1"/>
        <charset val="204"/>
      </rPr>
      <t>1</t>
    </r>
  </si>
  <si>
    <r>
      <t>К</t>
    </r>
    <r>
      <rPr>
        <vertAlign val="subscript"/>
        <sz val="10"/>
        <rFont val="Times New Roman"/>
        <family val="1"/>
        <charset val="204"/>
      </rPr>
      <t>2</t>
    </r>
  </si>
  <si>
    <r>
      <t>К</t>
    </r>
    <r>
      <rPr>
        <vertAlign val="subscript"/>
        <sz val="10"/>
        <rFont val="Times New Roman"/>
        <family val="1"/>
        <charset val="204"/>
      </rPr>
      <t>р</t>
    </r>
  </si>
  <si>
    <t>Наименование ЗВ</t>
  </si>
  <si>
    <t>Код</t>
  </si>
  <si>
    <r>
      <t>М</t>
    </r>
    <r>
      <rPr>
        <vertAlign val="subscript"/>
        <sz val="1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>г/с</t>
    </r>
  </si>
  <si>
    <r>
      <t>М</t>
    </r>
    <r>
      <rPr>
        <vertAlign val="subscript"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т/год</t>
    </r>
  </si>
  <si>
    <t>2026 год</t>
  </si>
  <si>
    <t xml:space="preserve">м3/час </t>
  </si>
  <si>
    <t>м3/год</t>
  </si>
  <si>
    <t>Межплощадочные транспортные коммуникации (Технологический проезд до шламонакопителя)</t>
  </si>
  <si>
    <t>2027 год</t>
  </si>
  <si>
    <t>2028 год</t>
  </si>
  <si>
    <r>
      <t>q</t>
    </r>
    <r>
      <rPr>
        <vertAlign val="subscript"/>
        <sz val="10"/>
        <color indexed="8"/>
        <rFont val="Times New Roman"/>
        <family val="1"/>
        <charset val="204"/>
      </rPr>
      <t>уд</t>
    </r>
  </si>
  <si>
    <t>γ</t>
  </si>
  <si>
    <t>Е</t>
  </si>
  <si>
    <r>
      <t>К</t>
    </r>
    <r>
      <rPr>
        <vertAlign val="subscript"/>
        <sz val="10"/>
        <color indexed="8"/>
        <rFont val="Times New Roman"/>
        <family val="1"/>
        <charset val="204"/>
      </rPr>
      <t>э</t>
    </r>
  </si>
  <si>
    <r>
      <t>t</t>
    </r>
    <r>
      <rPr>
        <vertAlign val="subscript"/>
        <sz val="10"/>
        <color indexed="8"/>
        <rFont val="Times New Roman"/>
        <family val="1"/>
        <charset val="204"/>
      </rPr>
      <t>ц</t>
    </r>
  </si>
  <si>
    <r>
      <t>Т</t>
    </r>
    <r>
      <rPr>
        <vertAlign val="subscript"/>
        <sz val="10"/>
        <color indexed="8"/>
        <rFont val="Times New Roman"/>
        <family val="1"/>
        <charset val="204"/>
      </rPr>
      <t>г</t>
    </r>
  </si>
  <si>
    <r>
      <t>К</t>
    </r>
    <r>
      <rPr>
        <vertAlign val="subscript"/>
        <sz val="10"/>
        <color indexed="8"/>
        <rFont val="Times New Roman"/>
        <family val="1"/>
        <charset val="204"/>
      </rPr>
      <t>1</t>
    </r>
  </si>
  <si>
    <r>
      <t>К</t>
    </r>
    <r>
      <rPr>
        <vertAlign val="subscript"/>
        <sz val="10"/>
        <color indexed="8"/>
        <rFont val="Times New Roman"/>
        <family val="1"/>
        <charset val="204"/>
      </rPr>
      <t>2</t>
    </r>
  </si>
  <si>
    <t>z</t>
  </si>
  <si>
    <r>
      <t>М</t>
    </r>
    <r>
      <rPr>
        <vertAlign val="subscript"/>
        <sz val="10"/>
        <color indexed="8"/>
        <rFont val="Times New Roman"/>
        <family val="1"/>
        <charset val="204"/>
      </rPr>
      <t xml:space="preserve">  </t>
    </r>
    <r>
      <rPr>
        <sz val="10"/>
        <color indexed="8"/>
        <rFont val="Times New Roman"/>
        <family val="1"/>
        <charset val="204"/>
      </rPr>
      <t>г/с</t>
    </r>
  </si>
  <si>
    <r>
      <t>М</t>
    </r>
    <r>
      <rPr>
        <vertAlign val="subscript"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т/год</t>
    </r>
  </si>
  <si>
    <t>Пыль неорг.с сод-м SiO2 70-20%</t>
  </si>
  <si>
    <t>Наименование источника</t>
  </si>
  <si>
    <r>
      <t>С</t>
    </r>
    <r>
      <rPr>
        <vertAlign val="subscript"/>
        <sz val="10"/>
        <color indexed="8"/>
        <rFont val="Times New Roman"/>
        <family val="1"/>
        <charset val="204"/>
      </rPr>
      <t>1</t>
    </r>
  </si>
  <si>
    <r>
      <t>С</t>
    </r>
    <r>
      <rPr>
        <vertAlign val="subscript"/>
        <sz val="10"/>
        <color indexed="8"/>
        <rFont val="Times New Roman"/>
        <family val="1"/>
        <charset val="204"/>
      </rPr>
      <t>2</t>
    </r>
  </si>
  <si>
    <r>
      <t>С</t>
    </r>
    <r>
      <rPr>
        <vertAlign val="subscript"/>
        <sz val="10"/>
        <color indexed="8"/>
        <rFont val="Times New Roman"/>
        <family val="1"/>
        <charset val="204"/>
      </rPr>
      <t>3</t>
    </r>
  </si>
  <si>
    <r>
      <t>С</t>
    </r>
    <r>
      <rPr>
        <vertAlign val="subscript"/>
        <sz val="10"/>
        <color indexed="8"/>
        <rFont val="Times New Roman"/>
        <family val="1"/>
        <charset val="204"/>
      </rPr>
      <t>4</t>
    </r>
  </si>
  <si>
    <r>
      <t>С</t>
    </r>
    <r>
      <rPr>
        <vertAlign val="subscript"/>
        <sz val="10"/>
        <color indexed="8"/>
        <rFont val="Times New Roman"/>
        <family val="1"/>
        <charset val="204"/>
      </rPr>
      <t>5</t>
    </r>
  </si>
  <si>
    <r>
      <t>С</t>
    </r>
    <r>
      <rPr>
        <vertAlign val="subscript"/>
        <sz val="10"/>
        <color indexed="8"/>
        <rFont val="Times New Roman"/>
        <family val="1"/>
        <charset val="204"/>
      </rPr>
      <t>6</t>
    </r>
  </si>
  <si>
    <r>
      <t>С</t>
    </r>
    <r>
      <rPr>
        <vertAlign val="subscript"/>
        <sz val="10"/>
        <color indexed="8"/>
        <rFont val="Times New Roman"/>
        <family val="1"/>
        <charset val="204"/>
      </rPr>
      <t>7</t>
    </r>
  </si>
  <si>
    <t>N</t>
  </si>
  <si>
    <t>q1</t>
  </si>
  <si>
    <r>
      <t>q</t>
    </r>
    <r>
      <rPr>
        <vertAlign val="superscript"/>
        <sz val="10"/>
        <color indexed="8"/>
        <rFont val="Times New Roman"/>
        <family val="1"/>
        <charset val="204"/>
      </rPr>
      <t>/</t>
    </r>
    <r>
      <rPr>
        <sz val="10"/>
        <color indexed="8"/>
        <rFont val="Times New Roman"/>
        <family val="1"/>
        <charset val="204"/>
      </rPr>
      <t>2</t>
    </r>
  </si>
  <si>
    <t>L</t>
  </si>
  <si>
    <r>
      <t>F</t>
    </r>
    <r>
      <rPr>
        <vertAlign val="subscript"/>
        <sz val="10"/>
        <color indexed="8"/>
        <rFont val="Times New Roman"/>
        <family val="1"/>
        <charset val="204"/>
      </rPr>
      <t>0</t>
    </r>
  </si>
  <si>
    <t>n</t>
  </si>
  <si>
    <t>T</t>
  </si>
  <si>
    <t>М т/год</t>
  </si>
  <si>
    <t>Автомобиль-самосвал Isuzu</t>
  </si>
  <si>
    <t>Пыль неорг. с сод-м SiO2 70-20%</t>
  </si>
  <si>
    <t xml:space="preserve">Автомобиль-самосвал КАМАЗ-65802 </t>
  </si>
  <si>
    <t>N ист</t>
  </si>
  <si>
    <t>К1</t>
  </si>
  <si>
    <t>К2</t>
  </si>
  <si>
    <t>К3</t>
  </si>
  <si>
    <t>К4</t>
  </si>
  <si>
    <t>К5</t>
  </si>
  <si>
    <t>К6</t>
  </si>
  <si>
    <t>К7</t>
  </si>
  <si>
    <t>В'</t>
  </si>
  <si>
    <t>Gчас</t>
  </si>
  <si>
    <t>Gгод</t>
  </si>
  <si>
    <t>Загрязняющее вещество</t>
  </si>
  <si>
    <t>Код ЗВ</t>
  </si>
  <si>
    <t>Результаты расчетов</t>
  </si>
  <si>
    <t>т/час</t>
  </si>
  <si>
    <t>т/год</t>
  </si>
  <si>
    <t>г/с</t>
  </si>
  <si>
    <t>грунт</t>
  </si>
  <si>
    <t>-</t>
  </si>
  <si>
    <t>Пыль неорг. с содержанием SiO2 70-20 %</t>
  </si>
  <si>
    <t>2908</t>
  </si>
  <si>
    <t>Планировка верха земляного полотна, откосов насыпи, обочин</t>
  </si>
  <si>
    <t xml:space="preserve">щебень </t>
  </si>
  <si>
    <t xml:space="preserve">щебеночно-гравийные смеси </t>
  </si>
  <si>
    <t>Устройство защитного слоя</t>
  </si>
  <si>
    <t>Примечание: одновременно производится один вид работ</t>
  </si>
  <si>
    <t>Источник выброса</t>
  </si>
  <si>
    <t>Процесс</t>
  </si>
  <si>
    <t>Марка сварочного материала</t>
  </si>
  <si>
    <t>Расход  сварочных материалов</t>
  </si>
  <si>
    <t>Удел. выдел. G, г/кг</t>
  </si>
  <si>
    <t>КПД очистки, %</t>
  </si>
  <si>
    <t>Выбросы ЗВ</t>
  </si>
  <si>
    <t>кг/час</t>
  </si>
  <si>
    <t>кг/год</t>
  </si>
  <si>
    <t>Сварочные посты</t>
  </si>
  <si>
    <t>Э-42А (УОНИ-13/45)</t>
  </si>
  <si>
    <t>Фтористые газ.соед</t>
  </si>
  <si>
    <t>0342</t>
  </si>
  <si>
    <t>0</t>
  </si>
  <si>
    <t>Диоксид азота</t>
  </si>
  <si>
    <t>0301</t>
  </si>
  <si>
    <t>Марганец и его соед.</t>
  </si>
  <si>
    <t>0143</t>
  </si>
  <si>
    <t>Фториды</t>
  </si>
  <si>
    <t>0344</t>
  </si>
  <si>
    <t>Железа оксид</t>
  </si>
  <si>
    <t>0123</t>
  </si>
  <si>
    <t>Пыль неорг.с сод-м SiO2 70-20 %</t>
  </si>
  <si>
    <t>Оксид углерода</t>
  </si>
  <si>
    <t>0337</t>
  </si>
  <si>
    <t>Сварочные работы</t>
  </si>
  <si>
    <t>Загрязняющие в-ва</t>
  </si>
  <si>
    <t>M, г/с</t>
  </si>
  <si>
    <t>G, т/год</t>
  </si>
  <si>
    <t>ДЭС-30 кВт     ЯМЗ Д-246 (РФ)</t>
  </si>
  <si>
    <t>дизтопливо</t>
  </si>
  <si>
    <t>Азота диоксид</t>
  </si>
  <si>
    <t>Азота оксид</t>
  </si>
  <si>
    <t>0304</t>
  </si>
  <si>
    <t>Сернистый ангидрид</t>
  </si>
  <si>
    <t>0330</t>
  </si>
  <si>
    <t>Углеводороды</t>
  </si>
  <si>
    <t>Формальдегид</t>
  </si>
  <si>
    <t>1325</t>
  </si>
  <si>
    <t>0328</t>
  </si>
  <si>
    <t xml:space="preserve">ДЭС-50 кВт              ММЗ Д-246 (Ф) </t>
  </si>
  <si>
    <t>Объект</t>
  </si>
  <si>
    <t>Vс, м3/час</t>
  </si>
  <si>
    <t>Qоз, м3</t>
  </si>
  <si>
    <t>Qвл, м3</t>
  </si>
  <si>
    <t>Сбоз,г/м3</t>
  </si>
  <si>
    <t>Сбвл,г/м3</t>
  </si>
  <si>
    <t>J,г/м3</t>
  </si>
  <si>
    <t>% содержания</t>
  </si>
  <si>
    <t>Всего</t>
  </si>
  <si>
    <t>M1, г/с</t>
  </si>
  <si>
    <t>G1, т/год</t>
  </si>
  <si>
    <t>1</t>
  </si>
  <si>
    <t>2</t>
  </si>
  <si>
    <t>3</t>
  </si>
  <si>
    <t>4</t>
  </si>
  <si>
    <t>Заправка техники</t>
  </si>
  <si>
    <t>Дизтопливо</t>
  </si>
  <si>
    <t>Углеводороды С12-С19</t>
  </si>
  <si>
    <t>м3</t>
  </si>
  <si>
    <t>Сероводород</t>
  </si>
  <si>
    <t>0333</t>
  </si>
  <si>
    <t>0,28</t>
  </si>
  <si>
    <t>Тип транспортного средства (мощность двигателя)</t>
  </si>
  <si>
    <t>Категория машин</t>
  </si>
  <si>
    <t xml:space="preserve">Номинальная мощность 
Двигателя, кВт
</t>
  </si>
  <si>
    <t xml:space="preserve"> Nkl</t>
  </si>
  <si>
    <t xml:space="preserve"> Nk</t>
  </si>
  <si>
    <t>Tхm, мин</t>
  </si>
  <si>
    <t>Txs,  мин</t>
  </si>
  <si>
    <t>Tv1</t>
  </si>
  <si>
    <t>Tv2</t>
  </si>
  <si>
    <t>Tv1n</t>
  </si>
  <si>
    <t>ML, г/мин</t>
  </si>
  <si>
    <t>Tv2n</t>
  </si>
  <si>
    <t>А</t>
  </si>
  <si>
    <t>Dn</t>
  </si>
  <si>
    <t>Мхх, г/мин.</t>
  </si>
  <si>
    <t>М1</t>
  </si>
  <si>
    <t>М2</t>
  </si>
  <si>
    <t>Мi, т/период</t>
  </si>
  <si>
    <t>Т</t>
  </si>
  <si>
    <t>Х</t>
  </si>
  <si>
    <t>П</t>
  </si>
  <si>
    <t>Каток</t>
  </si>
  <si>
    <t>61-100</t>
  </si>
  <si>
    <t>Bomag BW 213 D-40</t>
  </si>
  <si>
    <t>Серы диоксид</t>
  </si>
  <si>
    <t>Керосин</t>
  </si>
  <si>
    <t>2732</t>
  </si>
  <si>
    <t xml:space="preserve">Углерод </t>
  </si>
  <si>
    <t>Углерода оксид</t>
  </si>
  <si>
    <t xml:space="preserve">Экскаватор </t>
  </si>
  <si>
    <t>101-160</t>
  </si>
  <si>
    <t>Komatsu PC200-8M0</t>
  </si>
  <si>
    <t>161-260</t>
  </si>
  <si>
    <t>Komatsu PC300-8</t>
  </si>
  <si>
    <t>Бульдозер</t>
  </si>
  <si>
    <t>Komatsu D85A-21</t>
  </si>
  <si>
    <t>свыше 260</t>
  </si>
  <si>
    <t>Komatsu D275A-5</t>
  </si>
  <si>
    <t>Автомобиль-самосвал</t>
  </si>
  <si>
    <t xml:space="preserve"> Isuzu</t>
  </si>
  <si>
    <t>КАМАЗ-65802 (S5)</t>
  </si>
  <si>
    <t>Вибротрамбовка</t>
  </si>
  <si>
    <t>до 20</t>
  </si>
  <si>
    <t xml:space="preserve">Dynapac LG200 грунтовая </t>
  </si>
  <si>
    <t>36-60</t>
  </si>
  <si>
    <t>Кран автомобильный</t>
  </si>
  <si>
    <t>КС-35715</t>
  </si>
  <si>
    <t>Погрузчик</t>
  </si>
  <si>
    <t xml:space="preserve">Komatsu WA 420 </t>
  </si>
  <si>
    <t>Автомобиль</t>
  </si>
  <si>
    <t>SCANIA P-340</t>
  </si>
  <si>
    <t>Автомобиль - длинномер</t>
  </si>
  <si>
    <t>КАМАЗ 65116</t>
  </si>
  <si>
    <t>Автоманипулятор</t>
  </si>
  <si>
    <t>KANGLIM 1256G-II на шасси КАМАЗ 65117</t>
  </si>
  <si>
    <t>Топливозаправщик</t>
  </si>
  <si>
    <t>УРАЛ 5881  (АТЗ-10)</t>
  </si>
  <si>
    <t>Автогрейдер</t>
  </si>
  <si>
    <t>XCMG GR165</t>
  </si>
  <si>
    <t>ПРС</t>
  </si>
  <si>
    <t>Срезка растительного грунта, h=0,3 м (вывоз)</t>
  </si>
  <si>
    <t>Погрузка ПРС в автосамосвалы</t>
  </si>
  <si>
    <t>Транспортные работы</t>
  </si>
  <si>
    <t>Щебенистый грунт</t>
  </si>
  <si>
    <t xml:space="preserve">Заправка техники топливозаправщиком </t>
  </si>
  <si>
    <t>Автотранспорт</t>
  </si>
  <si>
    <t xml:space="preserve">   Основными источниками загрязнения атмосферы вредными веществами на период проведения строительных работ будут являться:</t>
  </si>
  <si>
    <r>
      <t>·</t>
    </r>
    <r>
      <rPr>
        <sz val="7"/>
        <color rgb="FF000000"/>
        <rFont val="Times New Roman"/>
        <family val="1"/>
        <charset val="204"/>
      </rPr>
      <t xml:space="preserve">     </t>
    </r>
    <r>
      <rPr>
        <i/>
        <u/>
        <sz val="14"/>
        <color rgb="FF000000"/>
        <rFont val="Times New Roman"/>
        <family val="1"/>
        <charset val="204"/>
      </rPr>
      <t>Устройство технологического проезда до шламонакопителя:</t>
    </r>
  </si>
  <si>
    <t>Список литературы:</t>
  </si>
  <si>
    <t>1. Методика расчета нормативов выбросов от неорганизованных источников. Астана, 2014 г.</t>
  </si>
  <si>
    <t xml:space="preserve">   Масса пыли, выделяющейся при разработке пород или отвалообразовании бульдозером, рассчитывается по формуле [1]:</t>
  </si>
  <si>
    <r>
      <t>М</t>
    </r>
    <r>
      <rPr>
        <b/>
        <vertAlign val="subscript"/>
        <sz val="14"/>
        <color rgb="FF000000"/>
        <rFont val="Times New Roman"/>
        <family val="1"/>
        <charset val="204"/>
      </rPr>
      <t xml:space="preserve">год </t>
    </r>
    <r>
      <rPr>
        <b/>
        <sz val="14"/>
        <color rgb="FF000000"/>
        <rFont val="Times New Roman"/>
        <family val="1"/>
        <charset val="204"/>
      </rPr>
      <t>= q</t>
    </r>
    <r>
      <rPr>
        <b/>
        <vertAlign val="subscript"/>
        <sz val="14"/>
        <color rgb="FF000000"/>
        <rFont val="Times New Roman"/>
        <family val="1"/>
        <charset val="204"/>
      </rPr>
      <t xml:space="preserve">уд </t>
    </r>
    <r>
      <rPr>
        <b/>
        <sz val="14"/>
        <color rgb="FF000000"/>
        <rFont val="Times New Roman"/>
        <family val="1"/>
        <charset val="204"/>
      </rPr>
      <t>х 3,6 х y х V х t</t>
    </r>
    <r>
      <rPr>
        <b/>
        <vertAlign val="subscript"/>
        <sz val="14"/>
        <color rgb="FF000000"/>
        <rFont val="Times New Roman"/>
        <family val="1"/>
        <charset val="204"/>
      </rPr>
      <t>cм</t>
    </r>
    <r>
      <rPr>
        <b/>
        <sz val="14"/>
        <color rgb="FF000000"/>
        <rFont val="Times New Roman"/>
        <family val="1"/>
        <charset val="204"/>
      </rPr>
      <t xml:space="preserve"> x n</t>
    </r>
    <r>
      <rPr>
        <b/>
        <vertAlign val="subscript"/>
        <sz val="14"/>
        <color rgb="FF000000"/>
        <rFont val="Times New Roman"/>
        <family val="1"/>
        <charset val="204"/>
      </rPr>
      <t>см</t>
    </r>
    <r>
      <rPr>
        <b/>
        <sz val="14"/>
        <color rgb="FF000000"/>
        <rFont val="Times New Roman"/>
        <family val="1"/>
        <charset val="204"/>
      </rPr>
      <t xml:space="preserve"> х 10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b/>
        <sz val="14"/>
        <color rgb="FF000000"/>
        <rFont val="Times New Roman"/>
        <family val="1"/>
        <charset val="204"/>
      </rPr>
      <t xml:space="preserve"> х К</t>
    </r>
    <r>
      <rPr>
        <b/>
        <vertAlign val="subscript"/>
        <sz val="14"/>
        <color rgb="FF000000"/>
        <rFont val="Times New Roman"/>
        <family val="1"/>
        <charset val="204"/>
      </rPr>
      <t>1</t>
    </r>
    <r>
      <rPr>
        <b/>
        <sz val="14"/>
        <color rgb="FF000000"/>
        <rFont val="Times New Roman"/>
        <family val="1"/>
        <charset val="204"/>
      </rPr>
      <t xml:space="preserve"> х K</t>
    </r>
    <r>
      <rPr>
        <b/>
        <vertAlign val="subscript"/>
        <sz val="14"/>
        <color rgb="FF000000"/>
        <rFont val="Times New Roman"/>
        <family val="1"/>
        <charset val="204"/>
      </rPr>
      <t>2</t>
    </r>
    <r>
      <rPr>
        <b/>
        <sz val="14"/>
        <color rgb="FF000000"/>
        <rFont val="Times New Roman"/>
        <family val="1"/>
        <charset val="204"/>
      </rPr>
      <t xml:space="preserve"> / t</t>
    </r>
    <r>
      <rPr>
        <b/>
        <vertAlign val="subscript"/>
        <sz val="14"/>
        <color rgb="FF000000"/>
        <rFont val="Times New Roman"/>
        <family val="1"/>
        <charset val="204"/>
      </rPr>
      <t>цб</t>
    </r>
    <r>
      <rPr>
        <b/>
        <sz val="14"/>
        <color rgb="FF000000"/>
        <rFont val="Times New Roman"/>
        <family val="1"/>
        <charset val="204"/>
      </rPr>
      <t xml:space="preserve"> х К</t>
    </r>
    <r>
      <rPr>
        <b/>
        <vertAlign val="subscript"/>
        <sz val="14"/>
        <color rgb="FF000000"/>
        <rFont val="Times New Roman"/>
        <family val="1"/>
        <charset val="204"/>
      </rPr>
      <t>р</t>
    </r>
    <r>
      <rPr>
        <b/>
        <sz val="14"/>
        <color rgb="FF000000"/>
        <rFont val="Times New Roman"/>
        <family val="1"/>
        <charset val="204"/>
      </rPr>
      <t xml:space="preserve"> x (1-z), т/год  </t>
    </r>
  </si>
  <si>
    <t xml:space="preserve">где   </t>
  </si>
  <si>
    <r>
      <t>q</t>
    </r>
    <r>
      <rPr>
        <vertAlign val="subscript"/>
        <sz val="12"/>
        <color rgb="FF000000"/>
        <rFont val="Times New Roman"/>
        <family val="1"/>
        <charset val="204"/>
      </rPr>
      <t>уд.б.</t>
    </r>
    <r>
      <rPr>
        <sz val="12"/>
        <color rgb="FF000000"/>
        <rFont val="Times New Roman"/>
        <family val="1"/>
        <charset val="204"/>
      </rPr>
      <t xml:space="preserve"> - удельное выделение твердых частиц с 1 т перемещаемого материала, г/т (таблица 19) [1]; </t>
    </r>
  </si>
  <si>
    <r>
      <t xml:space="preserve">t </t>
    </r>
    <r>
      <rPr>
        <vertAlign val="subscript"/>
        <sz val="12"/>
        <color rgb="FF000000"/>
        <rFont val="Times New Roman"/>
        <family val="1"/>
        <charset val="204"/>
      </rPr>
      <t>см</t>
    </r>
    <r>
      <rPr>
        <sz val="12"/>
        <color rgb="FF000000"/>
        <rFont val="Times New Roman"/>
        <family val="1"/>
        <charset val="204"/>
      </rPr>
      <t xml:space="preserve"> - чистое время работы бульдозера в смену, ч; </t>
    </r>
  </si>
  <si>
    <r>
      <t>V - объем призмы волочения, м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>;</t>
    </r>
  </si>
  <si>
    <r>
      <t xml:space="preserve">t </t>
    </r>
    <r>
      <rPr>
        <vertAlign val="subscript"/>
        <sz val="12"/>
        <color rgb="FF000000"/>
        <rFont val="Times New Roman"/>
        <family val="1"/>
        <charset val="204"/>
      </rPr>
      <t>цб</t>
    </r>
    <r>
      <rPr>
        <sz val="12"/>
        <color rgb="FF000000"/>
        <rFont val="Times New Roman"/>
        <family val="1"/>
        <charset val="204"/>
      </rPr>
      <t xml:space="preserve"> - время цикла, с; </t>
    </r>
  </si>
  <si>
    <r>
      <t>n</t>
    </r>
    <r>
      <rPr>
        <vertAlign val="subscript"/>
        <sz val="12"/>
        <color rgb="FF000000"/>
        <rFont val="Times New Roman"/>
        <family val="1"/>
        <charset val="204"/>
      </rPr>
      <t xml:space="preserve">см </t>
    </r>
    <r>
      <rPr>
        <sz val="12"/>
        <color rgb="FF000000"/>
        <rFont val="Times New Roman"/>
        <family val="1"/>
        <charset val="204"/>
      </rPr>
      <t>- количество смен работы бульдозера в год;</t>
    </r>
  </si>
  <si>
    <t>z – коэффициент пылеподавления;</t>
  </si>
  <si>
    <r>
      <t>К</t>
    </r>
    <r>
      <rPr>
        <vertAlign val="subscript"/>
        <sz val="12"/>
        <color rgb="FF000000"/>
        <rFont val="Times New Roman"/>
        <family val="1"/>
        <charset val="204"/>
      </rPr>
      <t>р</t>
    </r>
    <r>
      <rPr>
        <sz val="12"/>
        <color rgb="FF000000"/>
        <rFont val="Times New Roman"/>
        <family val="1"/>
        <charset val="204"/>
      </rPr>
      <t xml:space="preserve"> – коэффициент разрыхления.</t>
    </r>
  </si>
  <si>
    <t xml:space="preserve">   Максимальный из разовых выброс вредных веществ при разработке пород или отвалообразовании бульдозером в карьере рассчитывается по формуле.</t>
  </si>
  <si>
    <r>
      <t>М</t>
    </r>
    <r>
      <rPr>
        <b/>
        <vertAlign val="subscript"/>
        <sz val="14"/>
        <color rgb="FF000000"/>
        <rFont val="Times New Roman"/>
        <family val="1"/>
        <charset val="204"/>
      </rPr>
      <t xml:space="preserve">сек </t>
    </r>
    <r>
      <rPr>
        <b/>
        <sz val="14"/>
        <color rgb="FF000000"/>
        <rFont val="Times New Roman"/>
        <family val="1"/>
        <charset val="204"/>
      </rPr>
      <t>= [q</t>
    </r>
    <r>
      <rPr>
        <b/>
        <vertAlign val="subscript"/>
        <sz val="14"/>
        <color rgb="FF000000"/>
        <rFont val="Times New Roman"/>
        <family val="1"/>
        <charset val="204"/>
      </rPr>
      <t>уд</t>
    </r>
    <r>
      <rPr>
        <b/>
        <sz val="14"/>
        <color rgb="FF000000"/>
        <rFont val="Times New Roman"/>
        <family val="1"/>
        <charset val="204"/>
      </rPr>
      <t xml:space="preserve"> х y х V х К</t>
    </r>
    <r>
      <rPr>
        <b/>
        <vertAlign val="subscript"/>
        <sz val="14"/>
        <color rgb="FF000000"/>
        <rFont val="Times New Roman"/>
        <family val="1"/>
        <charset val="204"/>
      </rPr>
      <t>1</t>
    </r>
    <r>
      <rPr>
        <b/>
        <sz val="14"/>
        <color rgb="FF000000"/>
        <rFont val="Times New Roman"/>
        <family val="1"/>
        <charset val="204"/>
      </rPr>
      <t xml:space="preserve"> х K</t>
    </r>
    <r>
      <rPr>
        <b/>
        <vertAlign val="subscript"/>
        <sz val="14"/>
        <color rgb="FF000000"/>
        <rFont val="Times New Roman"/>
        <family val="1"/>
        <charset val="204"/>
      </rPr>
      <t>2</t>
    </r>
    <r>
      <rPr>
        <b/>
        <sz val="14"/>
        <color rgb="FF000000"/>
        <rFont val="Times New Roman"/>
        <family val="1"/>
        <charset val="204"/>
      </rPr>
      <t xml:space="preserve"> / t</t>
    </r>
    <r>
      <rPr>
        <b/>
        <vertAlign val="subscript"/>
        <sz val="14"/>
        <color rgb="FF000000"/>
        <rFont val="Times New Roman"/>
        <family val="1"/>
        <charset val="204"/>
      </rPr>
      <t>цб</t>
    </r>
    <r>
      <rPr>
        <b/>
        <sz val="14"/>
        <color rgb="FF000000"/>
        <rFont val="Times New Roman"/>
        <family val="1"/>
        <charset val="204"/>
      </rPr>
      <t xml:space="preserve"> х K</t>
    </r>
    <r>
      <rPr>
        <b/>
        <vertAlign val="subscript"/>
        <sz val="14"/>
        <color rgb="FF000000"/>
        <rFont val="Times New Roman"/>
        <family val="1"/>
        <charset val="204"/>
      </rPr>
      <t>p</t>
    </r>
    <r>
      <rPr>
        <b/>
        <sz val="14"/>
        <color rgb="FF000000"/>
        <rFont val="Times New Roman"/>
        <family val="1"/>
        <charset val="204"/>
      </rPr>
      <t xml:space="preserve">] x (1-z), г/с  </t>
    </r>
  </si>
  <si>
    <t xml:space="preserve">При работе экскаваторов пыль выделяется, главным образом, при погрузке материала в автосамосвалы. </t>
  </si>
  <si>
    <t>Масса пыли, выделяющейся при работе одноковшовых экскаваторов, определяется по формуле [1]:</t>
  </si>
  <si>
    <t xml:space="preserve">Мгод = qуд.э. (3,6 х y х Е х Кэ / tц) х Тр х К1 х K2 х 10-3 x (1-z), т/год  </t>
  </si>
  <si>
    <t xml:space="preserve">Мсек = [qуд х y х Е х Кэ х К1 х K2 /(1/3 tц)] x (1-z), г/с </t>
  </si>
  <si>
    <t>где:</t>
  </si>
  <si>
    <t>qуд.э. - удельное выделение твердых частиц (пыли) с 1 т отгружаемого (перегружаемого) материала, г/м3 (таблица 17) [1];</t>
  </si>
  <si>
    <t xml:space="preserve">Y - плотность пород, т/м3; </t>
  </si>
  <si>
    <t>Е - вместимость ковша экскаватора, м3;</t>
  </si>
  <si>
    <t>Тг - чистое время работы экскаватора в год, ч.;</t>
  </si>
  <si>
    <t>Кэ – коэффициент экскавации (таблица 18) [1];</t>
  </si>
  <si>
    <t>tц - время цикла экскаватора, с;</t>
  </si>
  <si>
    <t xml:space="preserve">K1 - коэффициент, учитывающий скорость ветра, (м/с),  </t>
  </si>
  <si>
    <t>К2 - коэффициент, учитывающий влажность материала.</t>
  </si>
  <si>
    <t>Данные для расчета выбросов и результаты расчета приведены в таблице 3.2.</t>
  </si>
  <si>
    <t>Данные для расчета выбросов  и результаты расчета приведены в таблице 3.1.</t>
  </si>
  <si>
    <t>Выброс неорганической пыли при транспортных работах определяется по формуле [1]:</t>
  </si>
  <si>
    <t>Мсек = С1 х С2 х С3 х N х L x q1 x C6 x C7 / 3600 + С4 х С5 х С6 x Fo x n, г/с</t>
  </si>
  <si>
    <t>При определении выбросов в т/год используется выражение:</t>
  </si>
  <si>
    <t>Мг = 3,6 х Q х Т / 1000, т/год</t>
  </si>
  <si>
    <t>С1 – коэффициент, учитывающий среднюю грузоподъемность транспорта (табл.9) [1];</t>
  </si>
  <si>
    <t>C2 – коэффициент, учитывающий среднюю скорость транспорта (табл.10) [1];</t>
  </si>
  <si>
    <t>C3 – коэффициент, учитывающий состояние дорог (табл.11) [1];</t>
  </si>
  <si>
    <r>
      <t xml:space="preserve">C4 – коэффициент, учитывающий профиль поверхности материала на платформе и определяемый как соотношение  </t>
    </r>
    <r>
      <rPr>
        <sz val="14"/>
        <color rgb="FF000000"/>
        <rFont val="Times New Roman"/>
        <family val="1"/>
        <charset val="204"/>
      </rPr>
      <t>Fфакт/F</t>
    </r>
  </si>
  <si>
    <t>Fфакт.- фактическая площадь поверхность материала на платформе, м2;</t>
  </si>
  <si>
    <t>F0 – средняя площадь платформы, м2</t>
  </si>
  <si>
    <t>Значение С4 колеблется в пределах 1,3-1,6 в зависимости от крупности материала и степени заполнения платформы;</t>
  </si>
  <si>
    <t>С6 – коэффициент, учитывающий влажность поверхностного слоя материала, равный С6= k5 и принимаемый в соответствии с таблицей 4 [1];</t>
  </si>
  <si>
    <t>N – число ходок (туда и обратно) всего транспорта в час;</t>
  </si>
  <si>
    <t>L – среднее расстояние транспортировки в пределах карьера, км;</t>
  </si>
  <si>
    <t>С5 – коэффициент, учитывающий скорость обдува (Vоб) материала (табл.12) [1],</t>
  </si>
  <si>
    <t>q1 – пылевыделение в атмосферу на 1 км пробега при С1, С2, С3=1, принимается равным 1450 г/км;</t>
  </si>
  <si>
    <t>q’ – пылевыделение с единицы фактической поверхности материала на платформе, г/м2хс (табл.6) [1];</t>
  </si>
  <si>
    <t>n – число автомашин, работающих в карьере;</t>
  </si>
  <si>
    <t>С7 – коэффициент, учитывающий долю пыли, уносимой в атмосферу и равный 0,01;</t>
  </si>
  <si>
    <t>Т - время работы источника в году (автотранспорта).</t>
  </si>
  <si>
    <t>Данные для расчета выбросов и результаты расчета приведены в таблице 3.3.</t>
  </si>
  <si>
    <t>Данные для расчета выбросов и результаты расчета приведены в таблице 3.4.</t>
  </si>
  <si>
    <t xml:space="preserve">Максимально-разовый выброс определяется согласно [1]: </t>
  </si>
  <si>
    <t>Валовый выброс при пересыпке определяется  [1]:</t>
  </si>
  <si>
    <t>Мгод = К1 х К2 х К3 х К4 х К5 х К7 х G1 х В/, т/год</t>
  </si>
  <si>
    <t>k1 – весовая доля пылевой фракции в материале. Определяется путем отмывки и просева средней пробы с выделением фракции пыли размером 0-200 мкм соответствии с табл. 1 [1];</t>
  </si>
  <si>
    <t>k2 – доля пыли (от всей массы пыли), переходящая в аэрозоль соответствии с табл. 1 [1];</t>
  </si>
  <si>
    <t>k3 – коэффициент, учитывающий местные метеоусловия и принимаемый в соответствии с табл. 2 [1];</t>
  </si>
  <si>
    <t>k4 – коэффициент, учитывающий местные условия, степень защищенности узла от внешних воздействий, условия пылеобразования. Данные приведены в табл. 3 [1];</t>
  </si>
  <si>
    <t>k5 – коэффициент, учитывающий влажность материала и принимаемый в соответствии с данными табл. 4 [1];</t>
  </si>
  <si>
    <t>k7 – коэффициент, учитывающий крупность материала и принимаемый в соответствии с табл. 5 [1];</t>
  </si>
  <si>
    <t>G – суммарное количество перерабатываемого материала, т/ч;</t>
  </si>
  <si>
    <t>В' – коэффициент, учитывающий высоту пересыпки и принимаемый в соответствии с табл.7 [1]. Склады и хвостохранилища рассматриваются как равномерно распределенные источники пылевыделения.</t>
  </si>
  <si>
    <t xml:space="preserve"> G1 – суммарное количество перерабатываемого материала, т/год. </t>
  </si>
  <si>
    <t>3.3. Расчет выбросов загрязняющих веществ при земляных работах</t>
  </si>
  <si>
    <t>Таблица 3.3- Выбросы пыли в процессе проведения земляных работ</t>
  </si>
  <si>
    <t>1. Методика расчета выбросов загрязняющих веществ в атмосферу при сварочных работах (по величинам удельных выбросов) РНД 211.2.02.03-2004. Астана 2004.</t>
  </si>
  <si>
    <t xml:space="preserve">   При выполнении сварочных работ атмосферный воздух загрязняется сварочным аэрозолем, в состав которого, в зависимости от вида сварки, марок электродов и флюса, входят вредные для здоровья оксиды металлов (марганца, хрома и др.), газообразные (фтористые соединения, оксиды углерода, азота и др.). </t>
  </si>
  <si>
    <t xml:space="preserve">   Количество образующихся при сварке пыли и газов принято характеризовать валовыми выделениями, отнесенными к одному килограмму расходуемых материалов. Удельные валовые выделения приняты согласно методических указаний [1].</t>
  </si>
  <si>
    <t xml:space="preserve">   Определение количества выделяющихся вредных веществ (г/с, т/год) производится по формулам в зависимости от расхода электродов, [1]:</t>
  </si>
  <si>
    <r>
      <t>M</t>
    </r>
    <r>
      <rPr>
        <b/>
        <vertAlign val="subscript"/>
        <sz val="12"/>
        <rFont val="Times New Roman"/>
        <family val="1"/>
        <charset val="204"/>
      </rPr>
      <t>год</t>
    </r>
    <r>
      <rPr>
        <b/>
        <sz val="12"/>
        <rFont val="Times New Roman"/>
        <family val="1"/>
        <charset val="204"/>
      </rPr>
      <t xml:space="preserve"> = В</t>
    </r>
    <r>
      <rPr>
        <b/>
        <vertAlign val="subscript"/>
        <sz val="12"/>
        <rFont val="Times New Roman"/>
        <family val="1"/>
        <charset val="204"/>
      </rPr>
      <t xml:space="preserve">г </t>
    </r>
    <r>
      <rPr>
        <b/>
        <sz val="12"/>
        <rFont val="Times New Roman"/>
        <family val="1"/>
        <charset val="204"/>
      </rPr>
      <t>× К</t>
    </r>
    <r>
      <rPr>
        <b/>
        <vertAlign val="subscript"/>
        <sz val="12"/>
        <rFont val="Times New Roman"/>
        <family val="1"/>
        <charset val="204"/>
      </rPr>
      <t>m</t>
    </r>
    <r>
      <rPr>
        <b/>
        <vertAlign val="superscript"/>
        <sz val="12"/>
        <rFont val="Times New Roman"/>
        <family val="1"/>
        <charset val="204"/>
      </rPr>
      <t>x</t>
    </r>
    <r>
      <rPr>
        <b/>
        <sz val="12"/>
        <rFont val="Times New Roman"/>
        <family val="1"/>
        <charset val="204"/>
      </rPr>
      <t xml:space="preserve"> /10</t>
    </r>
    <r>
      <rPr>
        <b/>
        <vertAlign val="superscript"/>
        <sz val="12"/>
        <rFont val="Times New Roman"/>
        <family val="1"/>
        <charset val="204"/>
      </rPr>
      <t>6</t>
    </r>
    <r>
      <rPr>
        <b/>
        <sz val="12"/>
        <rFont val="Times New Roman"/>
        <family val="1"/>
        <charset val="204"/>
      </rPr>
      <t xml:space="preserve"> х (1-n), т/год,</t>
    </r>
  </si>
  <si>
    <r>
      <t>M</t>
    </r>
    <r>
      <rPr>
        <b/>
        <vertAlign val="subscript"/>
        <sz val="12"/>
        <rFont val="Times New Roman"/>
        <family val="1"/>
        <charset val="204"/>
      </rPr>
      <t>сек</t>
    </r>
    <r>
      <rPr>
        <b/>
        <sz val="12"/>
        <rFont val="Times New Roman"/>
        <family val="1"/>
        <charset val="204"/>
      </rPr>
      <t xml:space="preserve"> = В</t>
    </r>
    <r>
      <rPr>
        <b/>
        <vertAlign val="subscript"/>
        <sz val="12"/>
        <rFont val="Times New Roman"/>
        <family val="1"/>
        <charset val="204"/>
      </rPr>
      <t xml:space="preserve">ч </t>
    </r>
    <r>
      <rPr>
        <b/>
        <sz val="12"/>
        <rFont val="Times New Roman"/>
        <family val="1"/>
        <charset val="204"/>
      </rPr>
      <t>× К</t>
    </r>
    <r>
      <rPr>
        <b/>
        <vertAlign val="subscript"/>
        <sz val="12"/>
        <rFont val="Times New Roman"/>
        <family val="1"/>
        <charset val="204"/>
      </rPr>
      <t>m</t>
    </r>
    <r>
      <rPr>
        <b/>
        <vertAlign val="superscript"/>
        <sz val="12"/>
        <rFont val="Times New Roman"/>
        <family val="1"/>
        <charset val="204"/>
      </rPr>
      <t>x</t>
    </r>
    <r>
      <rPr>
        <b/>
        <sz val="12"/>
        <rFont val="Times New Roman"/>
        <family val="1"/>
        <charset val="204"/>
      </rPr>
      <t xml:space="preserve"> / 3600 х (1-n), г/с,</t>
    </r>
  </si>
  <si>
    <t>где</t>
  </si>
  <si>
    <r>
      <t>К</t>
    </r>
    <r>
      <rPr>
        <vertAlign val="subscript"/>
        <sz val="12"/>
        <rFont val="Times New Roman"/>
        <family val="1"/>
        <charset val="204"/>
      </rPr>
      <t>m</t>
    </r>
    <r>
      <rPr>
        <vertAlign val="superscript"/>
        <sz val="12"/>
        <rFont val="Times New Roman"/>
        <family val="1"/>
        <charset val="204"/>
      </rPr>
      <t>x</t>
    </r>
    <r>
      <rPr>
        <sz val="12"/>
        <rFont val="Times New Roman"/>
        <family val="1"/>
        <charset val="204"/>
      </rPr>
      <t xml:space="preserve"> - удельный показатель выделяемого загрязняющего вещества на 1 кг расходуемых сварочных материалов, г/кг;</t>
    </r>
  </si>
  <si>
    <t>Bч - масса расходуемого за час сварочного материала, кг/час;</t>
  </si>
  <si>
    <t>Bг - масса расходуемого за год сварочного материала, кг/год.</t>
  </si>
  <si>
    <t>n -степень очистки воздуха в соотвующем аппарате, которым снабжается группа технологических агрегатов, кг/год.</t>
  </si>
  <si>
    <t>Таблица 3.5. - Выбросы загрязняющих веществ при сварочных работах</t>
  </si>
  <si>
    <t>3.5 Расчет выбросов загрязняющих веществ при проведении 
сварочных работ</t>
  </si>
  <si>
    <t>Данные для расчета выбросов и результаты расчета приведены в таблице 3.5.</t>
  </si>
  <si>
    <t>1. Методические указания расчета выбросов от предприятий, осуществляющих хранение и реализацию нефтепродуктов (нефтебазы, АЗС) и других жидкостей и газов. Астана, 2011.</t>
  </si>
  <si>
    <t xml:space="preserve">Для заправки автотракторной техники дизтопливом применяется топливозаправщик. </t>
  </si>
  <si>
    <t>Максимальные (разовые) выбросы при заполнении баков техники рассчитываются по формуле [1]:</t>
  </si>
  <si>
    <t>М б.а/м = (Сб.а/мmax х Vсл)/3600,  г/с</t>
  </si>
  <si>
    <t xml:space="preserve">где: </t>
  </si>
  <si>
    <t>Vсл – фактический максимальный расход топлива, м3/час;</t>
  </si>
  <si>
    <t>Сб.а./мmax – максимальная концентрация паров нефтепродуктов в выбросах паровоздушной смеси при заполнении баков техники, в зависимости от их конструкции и климатической зоны, в которой расположен объект, г/м3 (прилож.12 [1]).</t>
  </si>
  <si>
    <t xml:space="preserve">   При расчете годовых выбросов учитываются выбросы из топливных баков автомобилей при их заправке, и при проливах за счет стекания нефтепродуктов со стенок заправочных и сливных шлангов.</t>
  </si>
  <si>
    <t xml:space="preserve">   Годовые выбросы паров нефтепродуктов при заправке рассчитываются как сумма выбросов из баков автомобилей и выбросов от проливов нефтепродуктов на поверхность по формуле [1]:</t>
  </si>
  <si>
    <t>Gтрк = Gб.а. + Gпр.а, т/год</t>
  </si>
  <si>
    <t xml:space="preserve">  Выброс загрязняющих веществ из баков автомобилей рассчитывается по формуле [1]:</t>
  </si>
  <si>
    <t>Gб.а = (Сбоз х Qоз + Сбвл х Qвл) х 10-6, т/год</t>
  </si>
  <si>
    <t xml:space="preserve"> Сбоз, Сбвл – концентрация паров нефтепродуктов в выбросах паровоздушной смеси при заполнении баков автомобилей в осенне-зимний, весенне-летний период соответственно, г/м3 (согласно прилож. 15 [1]);</t>
  </si>
  <si>
    <t>Qоз, Qвл – количество закачиваемого в резервуар нефтепродукта в осенне-зимний,  весенне-летний период соответственно (м3).</t>
  </si>
  <si>
    <t xml:space="preserve">   Выброс загрязняющих веществ от проливов нефтепродуктов на поверхность от ТРК рассчитывается по формуле [1]:</t>
  </si>
  <si>
    <t>Gпр.а = 0,5 х J х ( Qоз +  Qвл) х 10-6,   т/год</t>
  </si>
  <si>
    <t>J – удельные выбросы при проливах, г/м3. Для автобензинов J = 125, для дизтоплива=50 [1];</t>
  </si>
  <si>
    <t xml:space="preserve">   Выбросы паров дизельного топлива по группам углеводородов (предельных и непредельных) и др. рассчитываются по формулам 5.2.4 и 5.2.5 [1]:</t>
  </si>
  <si>
    <r>
      <t xml:space="preserve">максимальные выбросы i-го загрязняющего вещества:  </t>
    </r>
    <r>
      <rPr>
        <b/>
        <sz val="14"/>
        <color theme="1"/>
        <rFont val="Times New Roman"/>
        <family val="1"/>
        <charset val="204"/>
      </rPr>
      <t>Мi = М х Сi / 100, г/с</t>
    </r>
  </si>
  <si>
    <r>
      <t>годовые выбросы i-го загрязняющего вещества:</t>
    </r>
    <r>
      <rPr>
        <b/>
        <sz val="14"/>
        <color theme="1"/>
        <rFont val="Times New Roman"/>
        <family val="1"/>
        <charset val="204"/>
      </rPr>
      <t xml:space="preserve"> Gi = G х Сi / 100, т/год</t>
    </r>
  </si>
  <si>
    <t>Сi - концентрация i-го загрязняющего вещества, % масс (приложение 14 [1]).</t>
  </si>
  <si>
    <t>ИЗ</t>
  </si>
  <si>
    <r>
      <t>G</t>
    </r>
    <r>
      <rPr>
        <vertAlign val="superscript"/>
        <sz val="11"/>
        <color indexed="8"/>
        <rFont val="Times New Roman"/>
        <family val="1"/>
        <charset val="204"/>
      </rPr>
      <t>мах</t>
    </r>
    <r>
      <rPr>
        <vertAlign val="subscript"/>
        <sz val="11"/>
        <color indexed="8"/>
        <rFont val="Times New Roman"/>
        <family val="1"/>
        <charset val="204"/>
      </rPr>
      <t>б.а/м</t>
    </r>
  </si>
  <si>
    <t>3.6. Расчет выбросов загрязняющих веществ от заправки техники</t>
  </si>
  <si>
    <t>Данные для расчета и результаты расчета выбросов вредных веществ при заправке техники топливозаправщиком представлены в таблице 3.6.</t>
  </si>
  <si>
    <t>Наимено-вание нефтепро-дукта</t>
  </si>
  <si>
    <r>
      <t xml:space="preserve"> </t>
    </r>
    <r>
      <rPr>
        <b/>
        <sz val="12"/>
        <color theme="1"/>
        <rFont val="Times New Roman"/>
        <family val="1"/>
        <charset val="204"/>
      </rPr>
      <t>Список литературы:</t>
    </r>
    <r>
      <rPr>
        <sz val="12"/>
        <color theme="1"/>
        <rFont val="Times New Roman"/>
        <family val="1"/>
        <charset val="204"/>
      </rPr>
      <t xml:space="preserve">        </t>
    </r>
  </si>
  <si>
    <t>1. Методика расчета выбросов вредных веществ от предприятий дорожно-строительной отрасли, в том числе от асфальтобетонных заводов (приложение № 3 к приказу МООС РК от 18.04.2008 г. № 100-п).</t>
  </si>
  <si>
    <t xml:space="preserve">            Выброс загрязняющих веществ одной дорожной машиной данной группы в день при движении и работе на территории предприятия рассчитывается по формуле:</t>
  </si>
  <si>
    <t>М1 = МL x Tv1 + 1,3 x МL x Tv1n + Mxx x Txs, г</t>
  </si>
  <si>
    <t xml:space="preserve">             Максимальный разовый выброс от 1 машины данной группы рассчитывается по формуле:</t>
  </si>
  <si>
    <t xml:space="preserve">М1 = МL x Tv2 + 1,3 x МL x Tv2n + Mxx x Txm, г/30 мин </t>
  </si>
  <si>
    <r>
      <t>М</t>
    </r>
    <r>
      <rPr>
        <b/>
        <vertAlign val="subscript"/>
        <sz val="14"/>
        <color theme="1"/>
        <rFont val="Times New Roman"/>
        <family val="1"/>
        <charset val="204"/>
      </rPr>
      <t>4</t>
    </r>
    <r>
      <rPr>
        <b/>
        <sz val="14"/>
        <color theme="1"/>
        <rFont val="Times New Roman"/>
        <family val="1"/>
        <charset val="204"/>
      </rPr>
      <t>год = А x М1 х Nk x Dn х 10-6,  т/год</t>
    </r>
  </si>
  <si>
    <r>
      <t>М</t>
    </r>
    <r>
      <rPr>
        <b/>
        <vertAlign val="subscript"/>
        <sz val="14"/>
        <color theme="1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>год = М</t>
    </r>
    <r>
      <rPr>
        <b/>
        <vertAlign val="subscript"/>
        <sz val="14"/>
        <color theme="1"/>
        <rFont val="Times New Roman"/>
        <family val="1"/>
        <charset val="204"/>
      </rPr>
      <t>i</t>
    </r>
    <r>
      <rPr>
        <b/>
        <vertAlign val="superscript"/>
        <sz val="14"/>
        <color theme="1"/>
        <rFont val="Times New Roman"/>
        <family val="1"/>
        <charset val="204"/>
      </rPr>
      <t xml:space="preserve">m </t>
    </r>
    <r>
      <rPr>
        <b/>
        <sz val="14"/>
        <color theme="1"/>
        <rFont val="Times New Roman"/>
        <family val="1"/>
        <charset val="204"/>
      </rPr>
      <t>+ М</t>
    </r>
    <r>
      <rPr>
        <b/>
        <vertAlign val="subscript"/>
        <sz val="14"/>
        <color theme="1"/>
        <rFont val="Times New Roman"/>
        <family val="1"/>
        <charset val="204"/>
      </rPr>
      <t>i</t>
    </r>
    <r>
      <rPr>
        <b/>
        <vertAlign val="superscript"/>
        <sz val="14"/>
        <color theme="1"/>
        <rFont val="Times New Roman"/>
        <family val="1"/>
        <charset val="204"/>
      </rPr>
      <t>x</t>
    </r>
    <r>
      <rPr>
        <b/>
        <sz val="14"/>
        <color theme="1"/>
        <rFont val="Times New Roman"/>
        <family val="1"/>
        <charset val="204"/>
      </rPr>
      <t xml:space="preserve"> + M</t>
    </r>
    <r>
      <rPr>
        <b/>
        <vertAlign val="subscript"/>
        <sz val="14"/>
        <color theme="1"/>
        <rFont val="Times New Roman"/>
        <family val="1"/>
        <charset val="204"/>
      </rPr>
      <t>i</t>
    </r>
    <r>
      <rPr>
        <b/>
        <vertAlign val="superscript"/>
        <sz val="14"/>
        <color theme="1"/>
        <rFont val="Times New Roman"/>
        <family val="1"/>
        <charset val="204"/>
      </rPr>
      <t>n</t>
    </r>
    <r>
      <rPr>
        <b/>
        <sz val="14"/>
        <color theme="1"/>
        <rFont val="Times New Roman"/>
        <family val="1"/>
        <charset val="204"/>
      </rPr>
      <t>,  т/год</t>
    </r>
  </si>
  <si>
    <r>
      <t>М</t>
    </r>
    <r>
      <rPr>
        <b/>
        <vertAlign val="subscript"/>
        <sz val="14"/>
        <color theme="1"/>
        <rFont val="Times New Roman"/>
        <family val="1"/>
        <charset val="204"/>
      </rPr>
      <t>4</t>
    </r>
    <r>
      <rPr>
        <b/>
        <sz val="14"/>
        <color theme="1"/>
        <rFont val="Times New Roman"/>
        <family val="1"/>
        <charset val="204"/>
      </rPr>
      <t xml:space="preserve">сек  =  M2 х Nkl / 1800, г/cек </t>
    </r>
  </si>
  <si>
    <t>Таблица 3.8 - Результаты расчета выбросов загрязняющих веществ от автотранспорта</t>
  </si>
  <si>
    <t>Таблица 1-</t>
  </si>
  <si>
    <t>№ ИЗ</t>
  </si>
  <si>
    <t>Наименование</t>
  </si>
  <si>
    <t>код ЗВ</t>
  </si>
  <si>
    <t xml:space="preserve">ДЭС-30 кВт ЯМЗ Д-246 (Ф) </t>
  </si>
  <si>
    <t>ИТОГО</t>
  </si>
  <si>
    <t>год нормирования</t>
  </si>
  <si>
    <t>ИТОГО:</t>
  </si>
  <si>
    <t>От автотранспорта (не нормируются)</t>
  </si>
  <si>
    <t>Устройство технологический проезд до шламонакопителя</t>
  </si>
  <si>
    <t>Заправка техники топливо-заправщиком</t>
  </si>
  <si>
    <t xml:space="preserve">ДЭС-50 кВт ММЗ Д-246 (Ф) </t>
  </si>
  <si>
    <t>Итого выбросы  от  источников загрязнения</t>
  </si>
  <si>
    <t>Итого по ист.900101:</t>
  </si>
  <si>
    <t>Итого по ист.900103:</t>
  </si>
  <si>
    <t>Итого по ист.9002:</t>
  </si>
  <si>
    <t>Итого по ист.900102:</t>
  </si>
  <si>
    <t>Итого по ист.9005:</t>
  </si>
  <si>
    <r>
      <t>Ø</t>
    </r>
    <r>
      <rPr>
        <sz val="7"/>
        <color rgb="FF000000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земляные работы (ист.9001);</t>
    </r>
  </si>
  <si>
    <r>
      <t>Ø</t>
    </r>
    <r>
      <rPr>
        <sz val="7"/>
        <color rgb="FF000000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транспортные работы (ист.9002);</t>
    </r>
  </si>
  <si>
    <r>
      <t>Ø</t>
    </r>
    <r>
      <rPr>
        <sz val="7"/>
        <color rgb="FF000000"/>
        <rFont val="Times New Roman"/>
        <family val="1"/>
        <charset val="204"/>
      </rPr>
      <t xml:space="preserve"> </t>
    </r>
    <r>
      <rPr>
        <sz val="14"/>
        <color rgb="FF000000"/>
        <rFont val="Times New Roman"/>
        <family val="1"/>
        <charset val="204"/>
      </rPr>
      <t>сварочные работы (ист.9003).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</si>
  <si>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Заправка техники топливозаправщиком (ист.9004).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</si>
  <si>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Автотранспорт (ист.9005).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</si>
  <si>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ДЭС-30 кВт ЯМЗ Д-246 (Ф) (ист.3001).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</si>
  <si>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ДЭС-50 кВт ММЗ Д-246 (Ф) (ист.3002).</t>
    </r>
  </si>
  <si>
    <t>СОДЕРЖАНИЕ</t>
  </si>
  <si>
    <t>СТР.</t>
  </si>
  <si>
    <t xml:space="preserve"> Выбросы пыли при работе бульдозера при снятии ПСП и ПРС  ..........................</t>
  </si>
  <si>
    <t>Расчет выбросов загрязняющих веществ при погрузочных работах экскаватором …..............................................................................................................</t>
  </si>
  <si>
    <t>Расчет выбросов загрязняющих веществ при земляных работах….......................</t>
  </si>
  <si>
    <t>Расчет выбросов загрязняющих веществ при транспортных работах….......................</t>
  </si>
  <si>
    <t>Расчет выбросов загрязняющих веществ при проведении сварочных работах…..</t>
  </si>
  <si>
    <t>Расчет выбросов загрязняющих веществ при работе дизельных установок…......................................…..</t>
  </si>
  <si>
    <t>Расчет выбросов ЗВ при  работе и движении техники по территории…............................</t>
  </si>
  <si>
    <t>3.2. Расчет выбросов загрязняющих веществ при погрузочных работах экскаватором</t>
  </si>
  <si>
    <t>Мсек = К1 х K2 х K3 х K4 х K5 х K7 х G х 1000000 х B/ 3600, г/с</t>
  </si>
  <si>
    <t>3.1</t>
  </si>
  <si>
    <t>3.2</t>
  </si>
  <si>
    <t>3.3</t>
  </si>
  <si>
    <t>3.4</t>
  </si>
  <si>
    <t>3.5</t>
  </si>
  <si>
    <t>Расчет выбросов загрязняющих веществ от заправки техники…............................</t>
  </si>
  <si>
    <t>3.6</t>
  </si>
  <si>
    <t>3.7</t>
  </si>
  <si>
    <t>3.8</t>
  </si>
  <si>
    <t>3.8 Расчет выбросов ЗВ при  работе и движении техники по территории</t>
  </si>
  <si>
    <r>
      <t>Пыль неорг.с сод-м SiO</t>
    </r>
    <r>
      <rPr>
        <vertAlign val="sub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 70-20%</t>
    </r>
  </si>
  <si>
    <r>
      <t>Пыль неорг.с сод-м SiO</t>
    </r>
    <r>
      <rPr>
        <b/>
        <vertAlign val="subscript"/>
        <sz val="10"/>
        <color theme="1"/>
        <rFont val="Times New Roman"/>
        <family val="1"/>
        <charset val="204"/>
      </rPr>
      <t>2</t>
    </r>
    <r>
      <rPr>
        <b/>
        <sz val="10"/>
        <color theme="1"/>
        <rFont val="Times New Roman"/>
        <family val="1"/>
        <charset val="204"/>
      </rPr>
      <t xml:space="preserve"> 70-20%</t>
    </r>
  </si>
  <si>
    <t>Планировка территории (земляные работы), насыпь</t>
  </si>
  <si>
    <t>Планировка территории (земляные работы), выемка</t>
  </si>
  <si>
    <t>Устройство дорожных одежд (под сети)</t>
  </si>
  <si>
    <t>Укрепление канавы</t>
  </si>
  <si>
    <t>Устройство дорожных одежд (проезд)</t>
  </si>
  <si>
    <t>Укрепление обочин</t>
  </si>
  <si>
    <t>3. РАСЧЕТ ВЫБРОСОВ ЗАГРЯЗНЯЮЩИХ ВЕЩЕСТВ  ПРИ СТРОИТЕЛЬСТВЕ  ТЕХНОЛОГИЧЕСКИХ СЕТЕЙ</t>
  </si>
  <si>
    <t>3.4 Расчет выбросов загрязняющих веществ при транспортных работах</t>
  </si>
  <si>
    <t>Таблица 4- Итого выбросов  по загрязняющим вещества</t>
  </si>
  <si>
    <t>Таблица 2- Итого выбросов  по загрязняющим вещества без авто</t>
  </si>
  <si>
    <t>Список литературы</t>
  </si>
  <si>
    <t>1. РНД 211.2.02.04-2004. Методика расчета выбросов загрязняющих веществ в атмосферу от стационарных дизельных установок.</t>
  </si>
  <si>
    <t xml:space="preserve">Количество выбрасываемых загрязняющих веществ определяется по формулам [1]: </t>
  </si>
  <si>
    <t>Мсек =   Kвр х ei х Рэ /3600, г/с</t>
  </si>
  <si>
    <t>Мгод =   Kвр х qi х Bгод/1000, т/год</t>
  </si>
  <si>
    <t xml:space="preserve">      Pэ – эксплуатационная мощность стационарной дизельной установки,  кВт;</t>
  </si>
  <si>
    <t xml:space="preserve">      Вгод – расход топлива стационарной дизельной установкой за год, т.</t>
  </si>
  <si>
    <t>Наименование источника загрязнения</t>
  </si>
  <si>
    <t>Применяемое топлива</t>
  </si>
  <si>
    <t>Группа установки</t>
  </si>
  <si>
    <t>Количество техники</t>
  </si>
  <si>
    <t>Эксплуата-ционная мощьность Рэ, кВт</t>
  </si>
  <si>
    <t>Расход  топлива, т/год</t>
  </si>
  <si>
    <t>Удельное выделение</t>
  </si>
  <si>
    <t>Выбросы</t>
  </si>
  <si>
    <t>всего</t>
  </si>
  <si>
    <t xml:space="preserve">в одновре-менной работе  Kвр </t>
  </si>
  <si>
    <t>ei , гкВт/ч.</t>
  </si>
  <si>
    <t>qi , г/кг</t>
  </si>
  <si>
    <t>Углерод черный</t>
  </si>
  <si>
    <t>Бенз(а)пирен</t>
  </si>
  <si>
    <t>0703</t>
  </si>
  <si>
    <t>3001</t>
  </si>
  <si>
    <t>3002</t>
  </si>
  <si>
    <t>3.7 Расчет выбросов загрязняющих веществ от дизельных установок</t>
  </si>
  <si>
    <t xml:space="preserve">Таблица 3.7 - Выбросы загрязняющих вещест от дизельных электростанций </t>
  </si>
  <si>
    <t>3.1. Расчет выбросов пыли  при снятии ПРС бульдозером</t>
  </si>
  <si>
    <t>Таблица 3.1 – Расчет выбросов пыли  при снятии ПРС бульдозером</t>
  </si>
  <si>
    <t>Таблица 3.2- Расчет выбросов загрязняющих веществ при погрузочных работах экскаватором</t>
  </si>
  <si>
    <t>Таблица 3.4 - Выбросы пыли при транспортных работах</t>
  </si>
  <si>
    <t>Таблица 3.6 - Результаты расчетов выбросов при заправки техники</t>
  </si>
  <si>
    <t xml:space="preserve">где </t>
  </si>
  <si>
    <t xml:space="preserve">  ei – выброс i-го вредного вещества на единицу полезной работы стационарной дизельной    установки на режиме номинальной мощности, г/Квт ч;</t>
  </si>
  <si>
    <t xml:space="preserve">      qi – выброс i-го вредного вещества, г/кг топлива;</t>
  </si>
  <si>
    <r>
      <t xml:space="preserve">      K</t>
    </r>
    <r>
      <rPr>
        <vertAlign val="subscript"/>
        <sz val="12"/>
        <color theme="1"/>
        <rFont val="Times New Roman"/>
        <family val="1"/>
        <charset val="204"/>
      </rPr>
      <t>вр</t>
    </r>
    <r>
      <rPr>
        <sz val="12"/>
        <color theme="1"/>
        <rFont val="Times New Roman"/>
        <family val="1"/>
        <charset val="204"/>
      </rPr>
      <t xml:space="preserve"> - количество станков в одновременной работе</t>
    </r>
  </si>
  <si>
    <t>Исходные данные и результаты расчета выбросов загрязняющих веществ  приведены в таблице 3.7.</t>
  </si>
  <si>
    <t xml:space="preserve"> ML   - удельный выброс при движении по территории предприятия с условно постоянной скоростью, г/мин;</t>
  </si>
  <si>
    <t>Tv1 -  суммарное время движения машины без нагрузки в день, мин.;</t>
  </si>
  <si>
    <t>Tv1n - суммарное время движения машины под нагрузкой в день, мин.;</t>
  </si>
  <si>
    <t>Mxx - удельный выброс вещества при работе двигателя на холостом ходу, г/мин.;</t>
  </si>
  <si>
    <t>Txs -  суммарное время работы двигателя на холостом ходу в день, мин.</t>
  </si>
  <si>
    <t>Tv2 - максимальное время движения машины без нагрузки в течение 30 мин.;</t>
  </si>
  <si>
    <t>Tv2n, Txm - максимальное время  работы под нагрузкой и на холостом ходу  в течение 30 мин.</t>
  </si>
  <si>
    <t xml:space="preserve">     Валовый выброс вещества автотракторной техники (дорожными машинами) данной группы рассчитывается раздельно для каждого периода по формуле:</t>
  </si>
  <si>
    <t>A  - коэффициент выпуска (выезда);</t>
  </si>
  <si>
    <t>Nk - общее количество автомобилей данной группы;</t>
  </si>
  <si>
    <t>Dn - количество рабочих дней в расчетном периоде (теплый, переходный, холодный).</t>
  </si>
  <si>
    <t xml:space="preserve">   Для определения общего валового выброса M1год валовые выбросы одноименных веществ по периодам года суммируются:</t>
  </si>
  <si>
    <t xml:space="preserve">     Максимальный разовый выброс от автотракторной техники (дорожных машин) данной группы рассчитывается по формуле:</t>
  </si>
  <si>
    <t>Nk1 - наибольшее количество машин данной группы, двигающихся (работающих) в течение получаса.</t>
  </si>
  <si>
    <t>Из полученных значений М1сек для разных групп автомобилей и расчетных периодов выбирается максимальное.</t>
  </si>
  <si>
    <t xml:space="preserve">   Данные для расчета и результаты расчета выбросов вредных веществ  представлены в таблице 3.8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</si>
</sst>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0"/>
    <numFmt numFmtId="166" formatCode="0.0000000"/>
  </numFmts>
  <fonts count="9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vertAlign val="superscript"/>
      <sz val="10"/>
      <color indexed="8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8"/>
      <name val="Calibri"/>
      <family val="2"/>
      <charset val="204"/>
      <scheme val="minor"/>
    </font>
    <font>
      <b/>
      <i/>
      <u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Symbol"/>
      <family val="1"/>
      <charset val="2"/>
    </font>
    <font>
      <sz val="7"/>
      <color rgb="FF000000"/>
      <name val="Times New Roman"/>
      <family val="1"/>
      <charset val="204"/>
    </font>
    <font>
      <i/>
      <u/>
      <sz val="14"/>
      <color rgb="FF000000"/>
      <name val="Times New Roman"/>
      <family val="1"/>
      <charset val="204"/>
    </font>
    <font>
      <sz val="14"/>
      <color rgb="FF000000"/>
      <name val="Wingdings"/>
      <charset val="2"/>
    </font>
    <font>
      <sz val="14"/>
      <color rgb="FF000000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9" tint="-0.49998474074526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vertAlign val="subscript"/>
      <sz val="14"/>
      <color rgb="FF000000"/>
      <name val="Times New Roman"/>
      <family val="1"/>
      <charset val="204"/>
    </font>
    <font>
      <b/>
      <vertAlign val="superscript"/>
      <sz val="14"/>
      <color rgb="FF000000"/>
      <name val="Times New Roman"/>
      <family val="1"/>
      <charset val="204"/>
    </font>
    <font>
      <vertAlign val="subscript"/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vertAlign val="subscript"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vertAlign val="subscript"/>
      <sz val="11"/>
      <color indexed="8"/>
      <name val="Times New Roman"/>
      <family val="1"/>
      <charset val="204"/>
    </font>
    <font>
      <b/>
      <vertAlign val="subscript"/>
      <sz val="14"/>
      <color theme="1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b/>
      <vertAlign val="subscript"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0"/>
      <color theme="9" tint="-0.249977111117893"/>
      <name val="Times New Roman"/>
      <family val="1"/>
      <charset val="204"/>
    </font>
    <font>
      <b/>
      <sz val="12"/>
      <color theme="9" tint="-0.249977111117893"/>
      <name val="Times New Roman"/>
      <family val="1"/>
      <charset val="204"/>
    </font>
    <font>
      <b/>
      <sz val="11"/>
      <color theme="9" tint="-0.249977111117893"/>
      <name val="Calibri"/>
      <family val="2"/>
      <charset val="204"/>
      <scheme val="minor"/>
    </font>
    <font>
      <vertAlign val="subscript"/>
      <sz val="12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7">
    <xf numFmtId="0" fontId="0" fillId="0" borderId="0" xfId="0"/>
    <xf numFmtId="0" fontId="1" fillId="0" borderId="0" xfId="0" applyFont="1"/>
    <xf numFmtId="0" fontId="5" fillId="0" borderId="0" xfId="0" applyFont="1"/>
    <xf numFmtId="0" fontId="7" fillId="0" borderId="5" xfId="0" applyFont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0" fillId="5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6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5" fillId="0" borderId="0" xfId="0" applyFont="1"/>
    <xf numFmtId="0" fontId="26" fillId="0" borderId="0" xfId="0" applyFont="1"/>
    <xf numFmtId="0" fontId="27" fillId="0" borderId="4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4" xfId="0" applyFont="1" applyBorder="1"/>
    <xf numFmtId="0" fontId="29" fillId="0" borderId="8" xfId="0" applyFont="1" applyBorder="1" applyAlignment="1">
      <alignment horizontal="center" vertical="center" wrapText="1"/>
    </xf>
    <xf numFmtId="0" fontId="1" fillId="0" borderId="8" xfId="0" applyFont="1" applyBorder="1"/>
    <xf numFmtId="0" fontId="30" fillId="0" borderId="4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/>
    </xf>
    <xf numFmtId="0" fontId="31" fillId="0" borderId="14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/>
    </xf>
    <xf numFmtId="0" fontId="31" fillId="0" borderId="16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16" xfId="0" applyFont="1" applyBorder="1"/>
    <xf numFmtId="0" fontId="31" fillId="0" borderId="8" xfId="0" applyFont="1" applyBorder="1"/>
    <xf numFmtId="0" fontId="31" fillId="0" borderId="5" xfId="0" applyFont="1" applyBorder="1" applyAlignment="1">
      <alignment horizontal="center" wrapText="1"/>
    </xf>
    <xf numFmtId="0" fontId="31" fillId="0" borderId="15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4" xfId="0" applyFont="1" applyBorder="1"/>
    <xf numFmtId="0" fontId="31" fillId="0" borderId="5" xfId="0" applyFont="1" applyBorder="1" applyProtection="1">
      <protection hidden="1"/>
    </xf>
    <xf numFmtId="49" fontId="31" fillId="0" borderId="5" xfId="0" applyNumberFormat="1" applyFont="1" applyBorder="1" applyAlignment="1" applyProtection="1">
      <alignment horizontal="center"/>
      <protection hidden="1"/>
    </xf>
    <xf numFmtId="0" fontId="31" fillId="0" borderId="10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6" xfId="0" applyFont="1" applyBorder="1" applyAlignment="1">
      <alignment vertical="center"/>
    </xf>
    <xf numFmtId="0" fontId="31" fillId="0" borderId="5" xfId="0" applyFont="1" applyBorder="1" applyAlignment="1">
      <alignment horizontal="center" vertical="center"/>
    </xf>
    <xf numFmtId="0" fontId="33" fillId="0" borderId="0" xfId="0" applyFont="1"/>
    <xf numFmtId="0" fontId="31" fillId="0" borderId="5" xfId="0" applyFont="1" applyBorder="1" applyAlignment="1">
      <alignment horizontal="center" vertical="center" wrapText="1"/>
    </xf>
    <xf numFmtId="0" fontId="31" fillId="0" borderId="5" xfId="0" applyFont="1" applyBorder="1"/>
    <xf numFmtId="0" fontId="0" fillId="0" borderId="8" xfId="0" applyBorder="1"/>
    <xf numFmtId="0" fontId="30" fillId="0" borderId="4" xfId="0" applyFont="1" applyBorder="1"/>
    <xf numFmtId="0" fontId="30" fillId="0" borderId="5" xfId="0" applyFont="1" applyBorder="1" applyProtection="1">
      <protection hidden="1"/>
    </xf>
    <xf numFmtId="49" fontId="30" fillId="0" borderId="5" xfId="0" applyNumberFormat="1" applyFont="1" applyBorder="1" applyAlignment="1" applyProtection="1">
      <alignment horizontal="center"/>
      <protection hidden="1"/>
    </xf>
    <xf numFmtId="0" fontId="30" fillId="0" borderId="5" xfId="0" applyFont="1" applyBorder="1" applyAlignment="1">
      <alignment horizontal="center"/>
    </xf>
    <xf numFmtId="0" fontId="5" fillId="6" borderId="0" xfId="0" applyFont="1" applyFill="1"/>
    <xf numFmtId="0" fontId="0" fillId="7" borderId="0" xfId="0" applyFill="1"/>
    <xf numFmtId="0" fontId="0" fillId="8" borderId="0" xfId="0" applyFill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/>
    </xf>
    <xf numFmtId="0" fontId="7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top"/>
    </xf>
    <xf numFmtId="0" fontId="0" fillId="4" borderId="0" xfId="0" applyFill="1"/>
    <xf numFmtId="0" fontId="47" fillId="4" borderId="0" xfId="0" applyFont="1" applyFill="1" applyAlignment="1">
      <alignment horizontal="center" vertical="top"/>
    </xf>
    <xf numFmtId="0" fontId="0" fillId="0" borderId="0" xfId="0" applyAlignment="1">
      <alignment wrapText="1"/>
    </xf>
    <xf numFmtId="0" fontId="42" fillId="0" borderId="0" xfId="0" applyFont="1" applyAlignment="1">
      <alignment horizontal="justify" vertical="center" wrapText="1"/>
    </xf>
    <xf numFmtId="0" fontId="50" fillId="0" borderId="0" xfId="0" applyFont="1" applyAlignment="1">
      <alignment wrapText="1"/>
    </xf>
    <xf numFmtId="0" fontId="5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left" vertical="center" wrapText="1"/>
    </xf>
    <xf numFmtId="0" fontId="16" fillId="0" borderId="0" xfId="0" applyFont="1" applyAlignment="1">
      <alignment wrapText="1"/>
    </xf>
    <xf numFmtId="0" fontId="56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10" fillId="4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51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0" fontId="37" fillId="0" borderId="0" xfId="0" applyFont="1"/>
    <xf numFmtId="0" fontId="57" fillId="0" borderId="0" xfId="0" applyFont="1"/>
    <xf numFmtId="0" fontId="7" fillId="0" borderId="4" xfId="0" applyFont="1" applyBorder="1" applyAlignment="1">
      <alignment horizontal="center" vertical="top"/>
    </xf>
    <xf numFmtId="0" fontId="7" fillId="4" borderId="4" xfId="0" applyFont="1" applyFill="1" applyBorder="1" applyAlignment="1">
      <alignment horizontal="center" vertical="top"/>
    </xf>
    <xf numFmtId="0" fontId="10" fillId="0" borderId="4" xfId="0" applyFont="1" applyBorder="1" applyAlignment="1">
      <alignment horizontal="center" vertical="top" wrapText="1"/>
    </xf>
    <xf numFmtId="0" fontId="17" fillId="0" borderId="0" xfId="0" applyFont="1"/>
    <xf numFmtId="0" fontId="16" fillId="0" borderId="0" xfId="0" applyFont="1"/>
    <xf numFmtId="0" fontId="10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/>
    </xf>
    <xf numFmtId="0" fontId="10" fillId="4" borderId="6" xfId="0" applyFont="1" applyFill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4" fillId="3" borderId="0" xfId="0" applyFont="1" applyFill="1"/>
    <xf numFmtId="0" fontId="14" fillId="2" borderId="0" xfId="0" applyFont="1" applyFill="1"/>
    <xf numFmtId="0" fontId="7" fillId="0" borderId="0" xfId="0" applyFont="1" applyAlignment="1">
      <alignment horizontal="left" vertical="center"/>
    </xf>
    <xf numFmtId="0" fontId="6" fillId="4" borderId="0" xfId="0" applyFont="1" applyFill="1"/>
    <xf numFmtId="0" fontId="6" fillId="4" borderId="0" xfId="0" applyFont="1" applyFill="1" applyAlignment="1">
      <alignment wrapText="1"/>
    </xf>
    <xf numFmtId="0" fontId="6" fillId="4" borderId="0" xfId="0" applyFont="1" applyFill="1" applyAlignment="1">
      <alignment horizontal="left" wrapText="1"/>
    </xf>
    <xf numFmtId="0" fontId="6" fillId="4" borderId="0" xfId="0" applyFont="1" applyFill="1" applyProtection="1">
      <protection hidden="1"/>
    </xf>
    <xf numFmtId="0" fontId="21" fillId="4" borderId="0" xfId="0" applyFont="1" applyFill="1" applyProtection="1">
      <protection hidden="1"/>
    </xf>
    <xf numFmtId="0" fontId="21" fillId="4" borderId="0" xfId="0" applyFont="1" applyFill="1" applyAlignment="1" applyProtection="1">
      <alignment horizontal="center"/>
      <protection hidden="1"/>
    </xf>
    <xf numFmtId="0" fontId="7" fillId="4" borderId="0" xfId="0" applyFont="1" applyFill="1" applyProtection="1">
      <protection hidden="1"/>
    </xf>
    <xf numFmtId="0" fontId="6" fillId="4" borderId="0" xfId="0" applyFont="1" applyFill="1" applyAlignment="1" applyProtection="1">
      <alignment horizontal="left"/>
      <protection hidden="1"/>
    </xf>
    <xf numFmtId="0" fontId="58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2" fillId="0" borderId="0" xfId="0" applyFont="1" applyAlignment="1">
      <alignment vertical="center" wrapText="1"/>
    </xf>
    <xf numFmtId="0" fontId="4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center" vertical="center" wrapText="1"/>
    </xf>
    <xf numFmtId="0" fontId="56" fillId="0" borderId="0" xfId="0" applyFont="1" applyAlignment="1">
      <alignment horizontal="left" vertical="center" wrapText="1"/>
    </xf>
    <xf numFmtId="0" fontId="56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65" fillId="0" borderId="8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 wrapText="1"/>
    </xf>
    <xf numFmtId="0" fontId="56" fillId="0" borderId="0" xfId="0" applyFont="1" applyAlignment="1">
      <alignment horizontal="left"/>
    </xf>
    <xf numFmtId="0" fontId="56" fillId="0" borderId="0" xfId="0" applyFont="1"/>
    <xf numFmtId="164" fontId="47" fillId="4" borderId="0" xfId="0" applyNumberFormat="1" applyFont="1" applyFill="1" applyAlignment="1">
      <alignment horizontal="center" vertical="top"/>
    </xf>
    <xf numFmtId="0" fontId="27" fillId="0" borderId="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165" fontId="27" fillId="0" borderId="0" xfId="0" applyNumberFormat="1" applyFont="1" applyAlignment="1" applyProtection="1">
      <alignment horizontal="center" vertical="center"/>
      <protection hidden="1"/>
    </xf>
    <xf numFmtId="0" fontId="35" fillId="3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0" fillId="0" borderId="0" xfId="0" applyFont="1" applyAlignment="1">
      <alignment horizontal="center"/>
    </xf>
    <xf numFmtId="0" fontId="58" fillId="0" borderId="0" xfId="0" applyFont="1" applyAlignment="1">
      <alignment horizontal="center" vertical="center"/>
    </xf>
    <xf numFmtId="0" fontId="58" fillId="0" borderId="0" xfId="0" applyFont="1"/>
    <xf numFmtId="0" fontId="58" fillId="0" borderId="0" xfId="0" applyFont="1" applyAlignment="1">
      <alignment horizontal="left"/>
    </xf>
    <xf numFmtId="0" fontId="58" fillId="0" borderId="0" xfId="0" applyFont="1" applyAlignment="1">
      <alignment horizontal="center"/>
    </xf>
    <xf numFmtId="0" fontId="58" fillId="4" borderId="0" xfId="0" applyFont="1" applyFill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5" fillId="0" borderId="5" xfId="0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4" borderId="18" xfId="0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horizontal="center" vertical="center"/>
    </xf>
    <xf numFmtId="0" fontId="56" fillId="0" borderId="5" xfId="0" applyFont="1" applyBorder="1" applyAlignment="1">
      <alignment horizontal="center"/>
    </xf>
    <xf numFmtId="0" fontId="56" fillId="0" borderId="5" xfId="0" applyFont="1" applyBorder="1" applyAlignment="1">
      <alignment horizontal="left"/>
    </xf>
    <xf numFmtId="0" fontId="56" fillId="0" borderId="1" xfId="0" applyFont="1" applyBorder="1" applyAlignment="1">
      <alignment horizontal="center"/>
    </xf>
    <xf numFmtId="0" fontId="56" fillId="0" borderId="21" xfId="0" applyFont="1" applyBorder="1" applyAlignment="1">
      <alignment horizontal="center"/>
    </xf>
    <xf numFmtId="0" fontId="56" fillId="0" borderId="4" xfId="0" applyFont="1" applyBorder="1" applyAlignment="1">
      <alignment horizontal="center"/>
    </xf>
    <xf numFmtId="0" fontId="56" fillId="0" borderId="4" xfId="0" applyFont="1" applyBorder="1" applyAlignment="1">
      <alignment horizontal="left"/>
    </xf>
    <xf numFmtId="0" fontId="56" fillId="0" borderId="11" xfId="0" applyFont="1" applyBorder="1" applyAlignment="1">
      <alignment horizontal="center"/>
    </xf>
    <xf numFmtId="0" fontId="56" fillId="0" borderId="22" xfId="0" applyFont="1" applyBorder="1" applyAlignment="1">
      <alignment horizontal="center"/>
    </xf>
    <xf numFmtId="0" fontId="56" fillId="0" borderId="23" xfId="0" applyFont="1" applyBorder="1" applyAlignment="1">
      <alignment horizontal="center"/>
    </xf>
    <xf numFmtId="0" fontId="56" fillId="4" borderId="22" xfId="0" applyFont="1" applyFill="1" applyBorder="1" applyAlignment="1">
      <alignment horizontal="center"/>
    </xf>
    <xf numFmtId="0" fontId="56" fillId="4" borderId="11" xfId="0" applyFont="1" applyFill="1" applyBorder="1" applyAlignment="1">
      <alignment horizontal="center"/>
    </xf>
    <xf numFmtId="0" fontId="56" fillId="0" borderId="8" xfId="0" applyFont="1" applyBorder="1"/>
    <xf numFmtId="0" fontId="56" fillId="0" borderId="8" xfId="0" applyFont="1" applyBorder="1" applyAlignment="1">
      <alignment horizontal="left"/>
    </xf>
    <xf numFmtId="0" fontId="56" fillId="0" borderId="17" xfId="0" applyFont="1" applyBorder="1" applyAlignment="1">
      <alignment horizontal="center"/>
    </xf>
    <xf numFmtId="0" fontId="56" fillId="0" borderId="24" xfId="0" applyFont="1" applyBorder="1" applyAlignment="1">
      <alignment horizontal="center"/>
    </xf>
    <xf numFmtId="0" fontId="56" fillId="0" borderId="25" xfId="0" applyFont="1" applyBorder="1" applyAlignment="1">
      <alignment horizontal="center"/>
    </xf>
    <xf numFmtId="0" fontId="56" fillId="4" borderId="24" xfId="0" applyFont="1" applyFill="1" applyBorder="1" applyAlignment="1">
      <alignment horizontal="center"/>
    </xf>
    <xf numFmtId="0" fontId="56" fillId="4" borderId="17" xfId="0" applyFont="1" applyFill="1" applyBorder="1" applyAlignment="1">
      <alignment horizontal="center"/>
    </xf>
    <xf numFmtId="0" fontId="56" fillId="0" borderId="6" xfId="0" applyFont="1" applyBorder="1"/>
    <xf numFmtId="0" fontId="56" fillId="0" borderId="6" xfId="0" applyFont="1" applyBorder="1" applyAlignment="1">
      <alignment horizontal="left"/>
    </xf>
    <xf numFmtId="0" fontId="56" fillId="0" borderId="10" xfId="0" applyFont="1" applyBorder="1" applyAlignment="1">
      <alignment horizontal="center"/>
    </xf>
    <xf numFmtId="0" fontId="56" fillId="0" borderId="26" xfId="0" applyFont="1" applyBorder="1" applyAlignment="1">
      <alignment horizontal="center"/>
    </xf>
    <xf numFmtId="0" fontId="56" fillId="0" borderId="27" xfId="0" applyFont="1" applyBorder="1" applyAlignment="1">
      <alignment horizontal="center"/>
    </xf>
    <xf numFmtId="0" fontId="56" fillId="4" borderId="26" xfId="0" applyFont="1" applyFill="1" applyBorder="1" applyAlignment="1">
      <alignment horizontal="center"/>
    </xf>
    <xf numFmtId="0" fontId="56" fillId="4" borderId="10" xfId="0" applyFont="1" applyFill="1" applyBorder="1" applyAlignment="1">
      <alignment horizontal="center"/>
    </xf>
    <xf numFmtId="0" fontId="56" fillId="4" borderId="0" xfId="0" applyFont="1" applyFill="1"/>
    <xf numFmtId="0" fontId="56" fillId="0" borderId="14" xfId="0" applyFont="1" applyBorder="1"/>
    <xf numFmtId="0" fontId="56" fillId="0" borderId="8" xfId="0" applyFont="1" applyBorder="1" applyAlignment="1">
      <alignment horizontal="center"/>
    </xf>
    <xf numFmtId="0" fontId="56" fillId="0" borderId="29" xfId="0" applyFont="1" applyBorder="1" applyAlignment="1">
      <alignment horizontal="center"/>
    </xf>
    <xf numFmtId="0" fontId="56" fillId="0" borderId="16" xfId="0" applyFont="1" applyBorder="1"/>
    <xf numFmtId="0" fontId="56" fillId="4" borderId="8" xfId="0" applyFont="1" applyFill="1" applyBorder="1" applyAlignment="1">
      <alignment horizontal="center"/>
    </xf>
    <xf numFmtId="0" fontId="56" fillId="4" borderId="8" xfId="0" applyFont="1" applyFill="1" applyBorder="1" applyAlignment="1">
      <alignment horizontal="left"/>
    </xf>
    <xf numFmtId="0" fontId="56" fillId="4" borderId="25" xfId="0" applyFont="1" applyFill="1" applyBorder="1" applyAlignment="1">
      <alignment horizontal="center"/>
    </xf>
    <xf numFmtId="0" fontId="56" fillId="4" borderId="29" xfId="0" applyFont="1" applyFill="1" applyBorder="1" applyAlignment="1">
      <alignment horizontal="center"/>
    </xf>
    <xf numFmtId="0" fontId="56" fillId="4" borderId="8" xfId="0" applyFont="1" applyFill="1" applyBorder="1"/>
    <xf numFmtId="0" fontId="56" fillId="4" borderId="6" xfId="0" applyFont="1" applyFill="1" applyBorder="1" applyAlignment="1">
      <alignment horizontal="center"/>
    </xf>
    <xf numFmtId="0" fontId="56" fillId="4" borderId="6" xfId="0" applyFont="1" applyFill="1" applyBorder="1" applyAlignment="1">
      <alignment horizontal="left"/>
    </xf>
    <xf numFmtId="0" fontId="56" fillId="4" borderId="27" xfId="0" applyFont="1" applyFill="1" applyBorder="1" applyAlignment="1">
      <alignment horizontal="center"/>
    </xf>
    <xf numFmtId="0" fontId="56" fillId="4" borderId="30" xfId="0" applyFont="1" applyFill="1" applyBorder="1" applyAlignment="1">
      <alignment horizontal="center"/>
    </xf>
    <xf numFmtId="0" fontId="56" fillId="4" borderId="23" xfId="0" applyFont="1" applyFill="1" applyBorder="1" applyAlignment="1">
      <alignment horizontal="center"/>
    </xf>
    <xf numFmtId="0" fontId="56" fillId="4" borderId="28" xfId="0" applyFont="1" applyFill="1" applyBorder="1" applyAlignment="1">
      <alignment horizontal="center"/>
    </xf>
    <xf numFmtId="0" fontId="56" fillId="0" borderId="5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6" fillId="4" borderId="0" xfId="0" applyFont="1" applyFill="1" applyAlignment="1">
      <alignment horizontal="center" vertical="center" wrapText="1"/>
    </xf>
    <xf numFmtId="0" fontId="56" fillId="4" borderId="4" xfId="0" applyFont="1" applyFill="1" applyBorder="1" applyAlignment="1">
      <alignment horizontal="center" vertical="center" wrapText="1"/>
    </xf>
    <xf numFmtId="0" fontId="56" fillId="4" borderId="4" xfId="0" applyFont="1" applyFill="1" applyBorder="1" applyAlignment="1">
      <alignment horizontal="left" vertical="center" wrapText="1"/>
    </xf>
    <xf numFmtId="0" fontId="56" fillId="4" borderId="23" xfId="0" applyFont="1" applyFill="1" applyBorder="1" applyAlignment="1">
      <alignment horizontal="center" vertical="center" wrapText="1"/>
    </xf>
    <xf numFmtId="0" fontId="56" fillId="4" borderId="28" xfId="0" applyFont="1" applyFill="1" applyBorder="1" applyAlignment="1">
      <alignment horizontal="center" vertical="center" wrapText="1"/>
    </xf>
    <xf numFmtId="0" fontId="56" fillId="4" borderId="6" xfId="0" applyFont="1" applyFill="1" applyBorder="1" applyAlignment="1">
      <alignment horizontal="center" vertical="center" wrapText="1"/>
    </xf>
    <xf numFmtId="0" fontId="56" fillId="4" borderId="6" xfId="0" applyFont="1" applyFill="1" applyBorder="1" applyAlignment="1">
      <alignment horizontal="left" vertical="center" wrapText="1"/>
    </xf>
    <xf numFmtId="0" fontId="56" fillId="4" borderId="27" xfId="0" applyFont="1" applyFill="1" applyBorder="1" applyAlignment="1">
      <alignment horizontal="center" vertical="center" wrapText="1"/>
    </xf>
    <xf numFmtId="0" fontId="56" fillId="4" borderId="30" xfId="0" applyFont="1" applyFill="1" applyBorder="1" applyAlignment="1">
      <alignment horizontal="center" vertical="center" wrapText="1"/>
    </xf>
    <xf numFmtId="0" fontId="56" fillId="4" borderId="4" xfId="0" applyFont="1" applyFill="1" applyBorder="1"/>
    <xf numFmtId="0" fontId="56" fillId="4" borderId="4" xfId="0" applyFont="1" applyFill="1" applyBorder="1" applyAlignment="1">
      <alignment horizontal="left"/>
    </xf>
    <xf numFmtId="0" fontId="56" fillId="4" borderId="34" xfId="0" applyFont="1" applyFill="1" applyBorder="1" applyAlignment="1">
      <alignment horizontal="center"/>
    </xf>
    <xf numFmtId="0" fontId="70" fillId="0" borderId="0" xfId="0" applyFont="1" applyAlignment="1">
      <alignment horizontal="center"/>
    </xf>
    <xf numFmtId="0" fontId="70" fillId="4" borderId="0" xfId="0" applyFont="1" applyFill="1" applyAlignment="1">
      <alignment horizontal="center"/>
    </xf>
    <xf numFmtId="166" fontId="70" fillId="0" borderId="0" xfId="0" applyNumberFormat="1" applyFont="1" applyAlignment="1">
      <alignment horizontal="center"/>
    </xf>
    <xf numFmtId="166" fontId="70" fillId="4" borderId="0" xfId="0" applyNumberFormat="1" applyFont="1" applyFill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9" borderId="5" xfId="0" applyFont="1" applyFill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71" fillId="0" borderId="0" xfId="0" applyFont="1" applyAlignment="1">
      <alignment horizontal="center"/>
    </xf>
    <xf numFmtId="0" fontId="56" fillId="0" borderId="33" xfId="0" applyFont="1" applyBorder="1" applyAlignment="1">
      <alignment horizontal="center"/>
    </xf>
    <xf numFmtId="0" fontId="56" fillId="0" borderId="34" xfId="0" applyFont="1" applyBorder="1" applyAlignment="1">
      <alignment horizontal="center"/>
    </xf>
    <xf numFmtId="0" fontId="56" fillId="0" borderId="9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71" fillId="0" borderId="0" xfId="0" applyFont="1"/>
    <xf numFmtId="0" fontId="71" fillId="0" borderId="0" xfId="0" applyFont="1" applyAlignment="1">
      <alignment horizontal="left"/>
    </xf>
    <xf numFmtId="0" fontId="71" fillId="4" borderId="0" xfId="0" applyFont="1" applyFill="1" applyAlignment="1">
      <alignment horizontal="center"/>
    </xf>
    <xf numFmtId="0" fontId="72" fillId="0" borderId="0" xfId="0" applyFont="1"/>
    <xf numFmtId="0" fontId="73" fillId="0" borderId="0" xfId="0" applyFont="1" applyAlignment="1">
      <alignment horizontal="center" vertical="center"/>
    </xf>
    <xf numFmtId="0" fontId="73" fillId="0" borderId="0" xfId="0" applyFont="1"/>
    <xf numFmtId="0" fontId="73" fillId="0" borderId="0" xfId="0" applyFont="1" applyAlignment="1">
      <alignment horizontal="left"/>
    </xf>
    <xf numFmtId="0" fontId="73" fillId="0" borderId="0" xfId="0" applyFont="1" applyAlignment="1">
      <alignment horizontal="center"/>
    </xf>
    <xf numFmtId="0" fontId="74" fillId="0" borderId="0" xfId="0" applyFont="1"/>
    <xf numFmtId="0" fontId="7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4" fillId="4" borderId="0" xfId="0" applyNumberFormat="1" applyFont="1" applyFill="1" applyAlignment="1">
      <alignment horizontal="center"/>
    </xf>
    <xf numFmtId="0" fontId="4" fillId="0" borderId="0" xfId="0" applyFont="1"/>
    <xf numFmtId="0" fontId="74" fillId="0" borderId="0" xfId="0" applyFont="1" applyAlignment="1">
      <alignment horizontal="left"/>
    </xf>
    <xf numFmtId="0" fontId="74" fillId="0" borderId="0" xfId="0" applyFont="1" applyAlignment="1">
      <alignment horizontal="center"/>
    </xf>
    <xf numFmtId="0" fontId="75" fillId="0" borderId="0" xfId="0" applyFont="1" applyAlignment="1">
      <alignment horizontal="center"/>
    </xf>
    <xf numFmtId="0" fontId="74" fillId="4" borderId="0" xfId="0" applyFont="1" applyFill="1" applyAlignment="1">
      <alignment horizontal="center"/>
    </xf>
    <xf numFmtId="0" fontId="56" fillId="0" borderId="31" xfId="0" applyFont="1" applyBorder="1" applyAlignment="1">
      <alignment horizontal="center"/>
    </xf>
    <xf numFmtId="0" fontId="56" fillId="4" borderId="10" xfId="0" applyFont="1" applyFill="1" applyBorder="1" applyAlignment="1">
      <alignment horizontal="left" vertical="center" wrapText="1"/>
    </xf>
    <xf numFmtId="0" fontId="56" fillId="4" borderId="11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166" fontId="17" fillId="0" borderId="0" xfId="0" applyNumberFormat="1" applyFont="1" applyAlignment="1">
      <alignment horizontal="center"/>
    </xf>
    <xf numFmtId="0" fontId="56" fillId="0" borderId="5" xfId="0" applyFont="1" applyBorder="1" applyAlignment="1">
      <alignment horizontal="left" vertical="center" wrapText="1"/>
    </xf>
    <xf numFmtId="49" fontId="56" fillId="0" borderId="5" xfId="0" applyNumberFormat="1" applyFont="1" applyBorder="1" applyAlignment="1">
      <alignment horizontal="center" vertical="center" wrapText="1"/>
    </xf>
    <xf numFmtId="0" fontId="56" fillId="0" borderId="5" xfId="0" applyFont="1" applyBorder="1" applyAlignment="1">
      <alignment vertical="center"/>
    </xf>
    <xf numFmtId="49" fontId="56" fillId="0" borderId="5" xfId="0" applyNumberFormat="1" applyFont="1" applyBorder="1" applyAlignment="1">
      <alignment horizontal="center" vertical="center"/>
    </xf>
    <xf numFmtId="0" fontId="56" fillId="0" borderId="6" xfId="0" applyFont="1" applyBorder="1" applyAlignment="1">
      <alignment horizontal="left" vertical="center" wrapText="1"/>
    </xf>
    <xf numFmtId="0" fontId="56" fillId="0" borderId="6" xfId="0" applyFont="1" applyBorder="1" applyAlignment="1">
      <alignment horizontal="center" vertical="center" wrapText="1"/>
    </xf>
    <xf numFmtId="0" fontId="56" fillId="0" borderId="4" xfId="0" applyFont="1" applyBorder="1" applyAlignment="1">
      <alignment horizontal="left" vertical="center" wrapText="1"/>
    </xf>
    <xf numFmtId="0" fontId="56" fillId="0" borderId="4" xfId="0" applyFont="1" applyBorder="1" applyAlignment="1">
      <alignment horizontal="center" vertical="center" wrapText="1"/>
    </xf>
    <xf numFmtId="0" fontId="56" fillId="0" borderId="13" xfId="0" applyFont="1" applyBorder="1" applyAlignment="1">
      <alignment horizontal="left" vertical="center"/>
    </xf>
    <xf numFmtId="0" fontId="56" fillId="0" borderId="13" xfId="0" applyFont="1" applyBorder="1" applyAlignment="1">
      <alignment horizontal="center" vertical="center"/>
    </xf>
    <xf numFmtId="0" fontId="56" fillId="0" borderId="13" xfId="0" applyFont="1" applyBorder="1" applyAlignment="1">
      <alignment horizontal="left" vertical="center" wrapText="1"/>
    </xf>
    <xf numFmtId="49" fontId="56" fillId="0" borderId="13" xfId="0" applyNumberFormat="1" applyFont="1" applyBorder="1" applyAlignment="1">
      <alignment horizontal="center" vertical="center"/>
    </xf>
    <xf numFmtId="0" fontId="56" fillId="0" borderId="5" xfId="0" applyFont="1" applyBorder="1" applyProtection="1">
      <protection hidden="1"/>
    </xf>
    <xf numFmtId="49" fontId="56" fillId="0" borderId="5" xfId="0" applyNumberFormat="1" applyFont="1" applyBorder="1" applyAlignment="1" applyProtection="1">
      <alignment horizontal="center"/>
      <protection hidden="1"/>
    </xf>
    <xf numFmtId="0" fontId="16" fillId="0" borderId="0" xfId="0" applyFont="1" applyAlignment="1">
      <alignment horizontal="center"/>
    </xf>
    <xf numFmtId="0" fontId="56" fillId="4" borderId="29" xfId="0" applyFont="1" applyFill="1" applyBorder="1" applyAlignment="1">
      <alignment horizontal="center" vertical="center" wrapText="1"/>
    </xf>
    <xf numFmtId="0" fontId="76" fillId="0" borderId="0" xfId="0" applyFont="1" applyAlignment="1">
      <alignment horizontal="center"/>
    </xf>
    <xf numFmtId="166" fontId="17" fillId="4" borderId="0" xfId="0" applyNumberFormat="1" applyFont="1" applyFill="1" applyAlignment="1">
      <alignment horizontal="center"/>
    </xf>
    <xf numFmtId="0" fontId="56" fillId="0" borderId="6" xfId="0" applyFont="1" applyBorder="1" applyAlignment="1">
      <alignment horizontal="center"/>
    </xf>
    <xf numFmtId="0" fontId="56" fillId="0" borderId="38" xfId="0" applyFont="1" applyBorder="1" applyAlignment="1">
      <alignment horizontal="center" vertical="center"/>
    </xf>
    <xf numFmtId="0" fontId="76" fillId="0" borderId="0" xfId="0" applyFont="1"/>
    <xf numFmtId="0" fontId="76" fillId="0" borderId="0" xfId="0" applyFont="1" applyAlignment="1">
      <alignment horizontal="center" vertical="center"/>
    </xf>
    <xf numFmtId="0" fontId="76" fillId="0" borderId="0" xfId="0" applyFont="1" applyAlignment="1">
      <alignment horizontal="left"/>
    </xf>
    <xf numFmtId="0" fontId="25" fillId="4" borderId="5" xfId="0" applyFont="1" applyFill="1" applyBorder="1" applyAlignment="1">
      <alignment horizontal="center" vertical="center"/>
    </xf>
    <xf numFmtId="0" fontId="56" fillId="4" borderId="4" xfId="0" applyFont="1" applyFill="1" applyBorder="1" applyAlignment="1">
      <alignment horizontal="center"/>
    </xf>
    <xf numFmtId="0" fontId="56" fillId="10" borderId="35" xfId="0" applyFont="1" applyFill="1" applyBorder="1" applyAlignment="1">
      <alignment horizontal="center" vertical="center"/>
    </xf>
    <xf numFmtId="0" fontId="56" fillId="10" borderId="36" xfId="0" applyFont="1" applyFill="1" applyBorder="1" applyAlignment="1">
      <alignment horizontal="center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5" xfId="0" applyFont="1" applyFill="1" applyBorder="1" applyAlignment="1">
      <alignment horizontal="center" vertical="center"/>
    </xf>
    <xf numFmtId="0" fontId="25" fillId="10" borderId="37" xfId="0" applyFont="1" applyFill="1" applyBorder="1" applyAlignment="1">
      <alignment horizontal="center" vertical="center"/>
    </xf>
    <xf numFmtId="49" fontId="56" fillId="0" borderId="0" xfId="0" applyNumberFormat="1" applyFont="1" applyAlignment="1">
      <alignment horizontal="center" vertical="center"/>
    </xf>
    <xf numFmtId="49" fontId="74" fillId="0" borderId="0" xfId="0" applyNumberFormat="1" applyFont="1" applyAlignment="1">
      <alignment horizontal="center" vertical="center"/>
    </xf>
    <xf numFmtId="0" fontId="17" fillId="0" borderId="5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 wrapText="1"/>
    </xf>
    <xf numFmtId="0" fontId="78" fillId="0" borderId="5" xfId="0" applyFont="1" applyBorder="1" applyAlignment="1">
      <alignment horizontal="center" vertical="top" wrapText="1"/>
    </xf>
    <xf numFmtId="0" fontId="78" fillId="0" borderId="5" xfId="0" applyFont="1" applyBorder="1" applyAlignment="1">
      <alignment horizontal="center" vertical="top"/>
    </xf>
    <xf numFmtId="0" fontId="79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79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8" fillId="0" borderId="5" xfId="0" applyFont="1" applyBorder="1" applyAlignment="1">
      <alignment horizontal="center" vertical="center" wrapText="1"/>
    </xf>
    <xf numFmtId="49" fontId="78" fillId="0" borderId="5" xfId="0" applyNumberFormat="1" applyFont="1" applyBorder="1" applyAlignment="1">
      <alignment horizontal="center" vertical="center" wrapText="1"/>
    </xf>
    <xf numFmtId="0" fontId="78" fillId="0" borderId="5" xfId="0" applyFont="1" applyBorder="1" applyAlignment="1">
      <alignment horizontal="center" vertical="center"/>
    </xf>
    <xf numFmtId="49" fontId="17" fillId="0" borderId="14" xfId="0" applyNumberFormat="1" applyFont="1" applyBorder="1" applyAlignment="1">
      <alignment horizontal="center" vertical="center"/>
    </xf>
    <xf numFmtId="0" fontId="83" fillId="0" borderId="5" xfId="0" applyFont="1" applyBorder="1" applyAlignment="1">
      <alignment vertical="center"/>
    </xf>
    <xf numFmtId="49" fontId="83" fillId="0" borderId="5" xfId="0" applyNumberFormat="1" applyFont="1" applyBorder="1" applyAlignment="1">
      <alignment horizontal="center" vertical="center"/>
    </xf>
    <xf numFmtId="0" fontId="83" fillId="0" borderId="5" xfId="0" applyFont="1" applyBorder="1" applyAlignment="1">
      <alignment horizontal="center" vertical="center"/>
    </xf>
    <xf numFmtId="49" fontId="83" fillId="0" borderId="8" xfId="0" applyNumberFormat="1" applyFont="1" applyBorder="1" applyAlignment="1">
      <alignment horizontal="center" vertical="center"/>
    </xf>
    <xf numFmtId="0" fontId="83" fillId="0" borderId="8" xfId="0" applyFont="1" applyBorder="1" applyAlignment="1">
      <alignment vertical="center"/>
    </xf>
    <xf numFmtId="0" fontId="83" fillId="0" borderId="5" xfId="0" applyFont="1" applyBorder="1" applyAlignment="1">
      <alignment horizontal="left" vertical="center" wrapText="1"/>
    </xf>
    <xf numFmtId="0" fontId="83" fillId="0" borderId="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/>
    </xf>
    <xf numFmtId="0" fontId="16" fillId="0" borderId="4" xfId="0" applyFont="1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15" xfId="0" applyFont="1" applyBorder="1" applyAlignment="1">
      <alignment horizontal="left"/>
    </xf>
    <xf numFmtId="0" fontId="16" fillId="0" borderId="6" xfId="0" applyFont="1" applyBorder="1" applyAlignment="1">
      <alignment horizontal="center" wrapText="1"/>
    </xf>
    <xf numFmtId="0" fontId="16" fillId="0" borderId="6" xfId="0" applyFont="1" applyBorder="1" applyAlignment="1">
      <alignment horizontal="center"/>
    </xf>
    <xf numFmtId="0" fontId="16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49" fontId="17" fillId="0" borderId="12" xfId="0" applyNumberFormat="1" applyFont="1" applyBorder="1" applyAlignment="1">
      <alignment horizontal="center"/>
    </xf>
    <xf numFmtId="0" fontId="84" fillId="0" borderId="0" xfId="0" applyFont="1" applyAlignment="1">
      <alignment horizontal="center" vertical="center" wrapText="1"/>
    </xf>
    <xf numFmtId="0" fontId="85" fillId="3" borderId="0" xfId="0" applyFont="1" applyFill="1" applyAlignment="1">
      <alignment horizontal="center"/>
    </xf>
    <xf numFmtId="0" fontId="85" fillId="2" borderId="0" xfId="0" applyFont="1" applyFill="1" applyAlignment="1">
      <alignment horizontal="center"/>
    </xf>
    <xf numFmtId="0" fontId="86" fillId="4" borderId="0" xfId="0" applyFont="1" applyFill="1" applyAlignment="1">
      <alignment horizontal="center" vertical="top"/>
    </xf>
    <xf numFmtId="0" fontId="87" fillId="4" borderId="0" xfId="0" applyFont="1" applyFill="1" applyAlignment="1">
      <alignment wrapText="1"/>
    </xf>
    <xf numFmtId="0" fontId="87" fillId="4" borderId="0" xfId="0" applyFont="1" applyFill="1" applyAlignment="1">
      <alignment horizontal="left" wrapText="1"/>
    </xf>
    <xf numFmtId="0" fontId="88" fillId="0" borderId="0" xfId="0" applyFont="1" applyAlignment="1">
      <alignment horizontal="center" vertical="center" wrapText="1"/>
    </xf>
    <xf numFmtId="0" fontId="84" fillId="0" borderId="0" xfId="0" applyFont="1" applyAlignment="1">
      <alignment horizontal="left" vertical="center" wrapText="1"/>
    </xf>
    <xf numFmtId="0" fontId="87" fillId="0" borderId="0" xfId="0" applyFont="1" applyAlignment="1">
      <alignment horizontal="center" vertical="center" wrapText="1"/>
    </xf>
    <xf numFmtId="0" fontId="87" fillId="0" borderId="0" xfId="0" applyFont="1" applyAlignment="1">
      <alignment horizontal="left" vertical="center" wrapText="1"/>
    </xf>
    <xf numFmtId="0" fontId="85" fillId="0" borderId="0" xfId="0" applyFont="1" applyAlignment="1">
      <alignment horizontal="center" vertical="center" wrapText="1"/>
    </xf>
    <xf numFmtId="0" fontId="85" fillId="0" borderId="0" xfId="0" applyFont="1" applyAlignment="1">
      <alignment horizontal="center" vertical="center"/>
    </xf>
    <xf numFmtId="0" fontId="88" fillId="0" borderId="0" xfId="0" applyFont="1"/>
    <xf numFmtId="0" fontId="56" fillId="0" borderId="39" xfId="0" applyFont="1" applyBorder="1" applyAlignment="1">
      <alignment horizontal="center"/>
    </xf>
    <xf numFmtId="0" fontId="56" fillId="4" borderId="31" xfId="0" applyFont="1" applyFill="1" applyBorder="1" applyAlignment="1">
      <alignment horizontal="center"/>
    </xf>
    <xf numFmtId="0" fontId="56" fillId="4" borderId="21" xfId="0" applyFont="1" applyFill="1" applyBorder="1" applyAlignment="1">
      <alignment horizontal="center"/>
    </xf>
    <xf numFmtId="0" fontId="17" fillId="0" borderId="4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center" wrapText="1"/>
    </xf>
    <xf numFmtId="0" fontId="25" fillId="11" borderId="5" xfId="0" applyFont="1" applyFill="1" applyBorder="1" applyAlignment="1">
      <alignment horizontal="center"/>
    </xf>
    <xf numFmtId="0" fontId="56" fillId="11" borderId="5" xfId="0" applyFont="1" applyFill="1" applyBorder="1" applyAlignment="1">
      <alignment horizontal="center"/>
    </xf>
    <xf numFmtId="0" fontId="56" fillId="11" borderId="5" xfId="0" applyFont="1" applyFill="1" applyBorder="1" applyAlignment="1">
      <alignment vertical="center"/>
    </xf>
    <xf numFmtId="49" fontId="56" fillId="11" borderId="5" xfId="0" applyNumberFormat="1" applyFont="1" applyFill="1" applyBorder="1" applyAlignment="1">
      <alignment horizontal="center" vertical="center"/>
    </xf>
    <xf numFmtId="0" fontId="56" fillId="11" borderId="5" xfId="0" applyFont="1" applyFill="1" applyBorder="1" applyProtection="1">
      <protection hidden="1"/>
    </xf>
    <xf numFmtId="49" fontId="56" fillId="11" borderId="5" xfId="0" applyNumberFormat="1" applyFont="1" applyFill="1" applyBorder="1" applyAlignment="1" applyProtection="1">
      <alignment horizontal="center"/>
      <protection hidden="1"/>
    </xf>
    <xf numFmtId="0" fontId="56" fillId="11" borderId="6" xfId="0" applyFont="1" applyFill="1" applyBorder="1" applyAlignment="1">
      <alignment horizontal="left" vertical="center" wrapText="1"/>
    </xf>
    <xf numFmtId="0" fontId="56" fillId="11" borderId="6" xfId="0" applyFont="1" applyFill="1" applyBorder="1" applyAlignment="1">
      <alignment horizontal="center" vertical="center" wrapText="1"/>
    </xf>
    <xf numFmtId="0" fontId="56" fillId="11" borderId="13" xfId="0" applyFont="1" applyFill="1" applyBorder="1" applyAlignment="1">
      <alignment horizontal="left" vertical="center"/>
    </xf>
    <xf numFmtId="0" fontId="56" fillId="11" borderId="13" xfId="0" applyFont="1" applyFill="1" applyBorder="1" applyAlignment="1">
      <alignment horizontal="center" vertical="center"/>
    </xf>
    <xf numFmtId="0" fontId="56" fillId="11" borderId="13" xfId="0" applyFont="1" applyFill="1" applyBorder="1" applyAlignment="1">
      <alignment horizontal="left" vertical="center" wrapText="1"/>
    </xf>
    <xf numFmtId="49" fontId="56" fillId="11" borderId="13" xfId="0" applyNumberFormat="1" applyFont="1" applyFill="1" applyBorder="1" applyAlignment="1">
      <alignment horizontal="center" vertical="center"/>
    </xf>
    <xf numFmtId="0" fontId="56" fillId="11" borderId="8" xfId="0" applyFont="1" applyFill="1" applyBorder="1" applyAlignment="1">
      <alignment horizontal="left"/>
    </xf>
    <xf numFmtId="0" fontId="56" fillId="11" borderId="4" xfId="0" applyFont="1" applyFill="1" applyBorder="1" applyAlignment="1">
      <alignment horizontal="left" vertical="center" wrapText="1"/>
    </xf>
    <xf numFmtId="0" fontId="56" fillId="11" borderId="4" xfId="0" applyFont="1" applyFill="1" applyBorder="1" applyAlignment="1">
      <alignment horizontal="center" vertical="center" wrapText="1"/>
    </xf>
    <xf numFmtId="0" fontId="56" fillId="11" borderId="5" xfId="0" applyFont="1" applyFill="1" applyBorder="1" applyAlignment="1">
      <alignment horizontal="left" vertical="center" wrapText="1"/>
    </xf>
    <xf numFmtId="49" fontId="56" fillId="11" borderId="5" xfId="0" applyNumberFormat="1" applyFont="1" applyFill="1" applyBorder="1" applyAlignment="1">
      <alignment horizontal="center" vertical="center" wrapText="1"/>
    </xf>
    <xf numFmtId="0" fontId="78" fillId="0" borderId="0" xfId="0" applyFont="1"/>
    <xf numFmtId="0" fontId="78" fillId="0" borderId="0" xfId="0" applyFont="1" applyAlignment="1">
      <alignment horizontal="left"/>
    </xf>
    <xf numFmtId="0" fontId="78" fillId="4" borderId="0" xfId="0" applyFont="1" applyFill="1" applyAlignment="1">
      <alignment horizontal="left"/>
    </xf>
    <xf numFmtId="0" fontId="78" fillId="0" borderId="0" xfId="0" applyFont="1" applyAlignment="1">
      <alignment horizontal="left" wrapText="1"/>
    </xf>
    <xf numFmtId="0" fontId="78" fillId="4" borderId="0" xfId="0" applyFont="1" applyFill="1" applyAlignment="1">
      <alignment horizontal="left" wrapText="1"/>
    </xf>
    <xf numFmtId="0" fontId="17" fillId="4" borderId="4" xfId="0" applyFont="1" applyFill="1" applyBorder="1" applyAlignment="1">
      <alignment horizontal="center" vertical="top" wrapText="1"/>
    </xf>
    <xf numFmtId="0" fontId="17" fillId="4" borderId="8" xfId="0" applyFont="1" applyFill="1" applyBorder="1" applyAlignment="1">
      <alignment horizontal="center" vertical="top" wrapText="1"/>
    </xf>
    <xf numFmtId="0" fontId="17" fillId="4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49" fontId="17" fillId="0" borderId="8" xfId="0" applyNumberFormat="1" applyFont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left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/>
    </xf>
    <xf numFmtId="0" fontId="17" fillId="4" borderId="8" xfId="0" applyFont="1" applyFill="1" applyBorder="1" applyAlignment="1">
      <alignment horizontal="center"/>
    </xf>
    <xf numFmtId="0" fontId="17" fillId="4" borderId="5" xfId="0" applyFont="1" applyFill="1" applyBorder="1" applyProtection="1">
      <protection hidden="1"/>
    </xf>
    <xf numFmtId="49" fontId="17" fillId="0" borderId="5" xfId="0" applyNumberFormat="1" applyFont="1" applyBorder="1" applyAlignment="1" applyProtection="1">
      <alignment horizontal="center"/>
      <protection hidden="1"/>
    </xf>
    <xf numFmtId="0" fontId="17" fillId="4" borderId="5" xfId="0" applyFont="1" applyFill="1" applyBorder="1" applyAlignment="1">
      <alignment horizontal="center"/>
    </xf>
    <xf numFmtId="0" fontId="17" fillId="4" borderId="5" xfId="0" applyFont="1" applyFill="1" applyBorder="1" applyAlignment="1">
      <alignment horizontal="left" wrapText="1"/>
    </xf>
    <xf numFmtId="49" fontId="17" fillId="0" borderId="5" xfId="0" applyNumberFormat="1" applyFont="1" applyBorder="1" applyAlignment="1">
      <alignment horizontal="center"/>
    </xf>
    <xf numFmtId="0" fontId="17" fillId="4" borderId="5" xfId="0" applyFont="1" applyFill="1" applyBorder="1" applyAlignment="1">
      <alignment horizontal="left"/>
    </xf>
    <xf numFmtId="0" fontId="17" fillId="4" borderId="4" xfId="0" applyFont="1" applyFill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78" fillId="0" borderId="6" xfId="0" applyFont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49" fontId="17" fillId="0" borderId="4" xfId="0" applyNumberFormat="1" applyFont="1" applyBorder="1" applyAlignment="1">
      <alignment horizontal="center" vertical="center" wrapText="1"/>
    </xf>
    <xf numFmtId="0" fontId="4" fillId="4" borderId="0" xfId="0" applyFont="1" applyFill="1"/>
    <xf numFmtId="0" fontId="56" fillId="4" borderId="24" xfId="0" applyFont="1" applyFill="1" applyBorder="1" applyAlignment="1">
      <alignment horizontal="left"/>
    </xf>
    <xf numFmtId="0" fontId="56" fillId="4" borderId="25" xfId="0" applyFont="1" applyFill="1" applyBorder="1" applyAlignment="1">
      <alignment horizontal="left"/>
    </xf>
    <xf numFmtId="0" fontId="46" fillId="0" borderId="0" xfId="0" applyFont="1" applyAlignment="1">
      <alignment horizontal="center"/>
    </xf>
    <xf numFmtId="0" fontId="25" fillId="4" borderId="0" xfId="0" applyFont="1" applyFill="1"/>
    <xf numFmtId="0" fontId="56" fillId="4" borderId="0" xfId="0" applyFont="1" applyFill="1" applyAlignment="1">
      <alignment horizontal="left"/>
    </xf>
    <xf numFmtId="0" fontId="56" fillId="5" borderId="0" xfId="0" applyFont="1" applyFill="1"/>
    <xf numFmtId="49" fontId="56" fillId="5" borderId="0" xfId="0" applyNumberFormat="1" applyFont="1" applyFill="1"/>
    <xf numFmtId="49" fontId="56" fillId="4" borderId="0" xfId="0" applyNumberFormat="1" applyFont="1" applyFill="1"/>
    <xf numFmtId="0" fontId="37" fillId="4" borderId="0" xfId="0" applyFont="1" applyFill="1" applyAlignment="1">
      <alignment horizontal="left" wrapText="1"/>
    </xf>
    <xf numFmtId="0" fontId="37" fillId="4" borderId="0" xfId="0" applyFont="1" applyFill="1" applyAlignment="1">
      <alignment wrapText="1"/>
    </xf>
    <xf numFmtId="0" fontId="17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center"/>
    </xf>
    <xf numFmtId="0" fontId="56" fillId="0" borderId="0" xfId="0" applyFont="1" applyAlignment="1">
      <alignment vertical="center"/>
    </xf>
    <xf numFmtId="0" fontId="3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41" fillId="0" borderId="0" xfId="0" applyFont="1" applyAlignment="1">
      <alignment horizontal="justify" vertical="center"/>
    </xf>
    <xf numFmtId="0" fontId="36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0" fontId="37" fillId="0" borderId="0" xfId="0" applyFont="1" applyAlignment="1">
      <alignment horizontal="justify" vertical="center"/>
    </xf>
    <xf numFmtId="0" fontId="38" fillId="0" borderId="0" xfId="0" applyFont="1" applyAlignment="1">
      <alignment horizontal="justify" vertical="center"/>
    </xf>
    <xf numFmtId="0" fontId="41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0" fontId="56" fillId="0" borderId="0" xfId="0" applyFont="1" applyAlignment="1">
      <alignment horizontal="left"/>
    </xf>
    <xf numFmtId="0" fontId="56" fillId="0" borderId="0" xfId="0" applyFont="1" applyAlignment="1">
      <alignment horizontal="center"/>
    </xf>
    <xf numFmtId="0" fontId="56" fillId="0" borderId="0" xfId="0" applyFont="1"/>
    <xf numFmtId="0" fontId="56" fillId="0" borderId="0" xfId="0" applyFont="1" applyAlignment="1">
      <alignment horizontal="left" wrapText="1"/>
    </xf>
    <xf numFmtId="0" fontId="6" fillId="0" borderId="7" xfId="0" applyFont="1" applyBorder="1" applyAlignment="1">
      <alignment horizontal="left"/>
    </xf>
    <xf numFmtId="0" fontId="78" fillId="2" borderId="1" xfId="0" applyFont="1" applyFill="1" applyBorder="1" applyAlignment="1">
      <alignment horizontal="center" vertical="center" wrapText="1"/>
    </xf>
    <xf numFmtId="0" fontId="77" fillId="2" borderId="2" xfId="0" applyFont="1" applyFill="1" applyBorder="1" applyAlignment="1">
      <alignment horizontal="center" vertical="center" wrapText="1"/>
    </xf>
    <xf numFmtId="0" fontId="77" fillId="2" borderId="3" xfId="0" applyFont="1" applyFill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79" fillId="0" borderId="4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24" fillId="3" borderId="1" xfId="0" applyFont="1" applyFill="1" applyBorder="1" applyAlignment="1">
      <alignment horizontal="center" vertical="center" wrapText="1"/>
    </xf>
    <xf numFmtId="0" fontId="77" fillId="3" borderId="2" xfId="0" applyFont="1" applyFill="1" applyBorder="1" applyAlignment="1">
      <alignment horizontal="center" vertical="center" wrapText="1"/>
    </xf>
    <xf numFmtId="0" fontId="77" fillId="3" borderId="3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9" fillId="0" borderId="0" xfId="0" applyFont="1" applyAlignment="1">
      <alignment horizontal="left" vertical="center" wrapText="1"/>
    </xf>
    <xf numFmtId="0" fontId="51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78" fillId="0" borderId="1" xfId="0" applyFont="1" applyBorder="1" applyAlignment="1">
      <alignment horizontal="right" vertical="center"/>
    </xf>
    <xf numFmtId="0" fontId="78" fillId="0" borderId="2" xfId="0" applyFont="1" applyBorder="1" applyAlignment="1">
      <alignment horizontal="right" vertical="center"/>
    </xf>
    <xf numFmtId="0" fontId="78" fillId="0" borderId="3" xfId="0" applyFont="1" applyBorder="1" applyAlignment="1">
      <alignment horizontal="right" vertical="center"/>
    </xf>
    <xf numFmtId="0" fontId="77" fillId="0" borderId="2" xfId="0" applyFont="1" applyBorder="1" applyAlignment="1">
      <alignment horizontal="right" vertical="center"/>
    </xf>
    <xf numFmtId="0" fontId="77" fillId="0" borderId="3" xfId="0" applyFont="1" applyBorder="1" applyAlignment="1">
      <alignment horizontal="right" vertical="center"/>
    </xf>
    <xf numFmtId="0" fontId="79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/>
    </xf>
    <xf numFmtId="0" fontId="0" fillId="0" borderId="8" xfId="0" applyBorder="1"/>
    <xf numFmtId="0" fontId="78" fillId="3" borderId="1" xfId="0" applyFont="1" applyFill="1" applyBorder="1" applyAlignment="1">
      <alignment horizontal="center" vertical="center" wrapText="1"/>
    </xf>
    <xf numFmtId="0" fontId="82" fillId="3" borderId="2" xfId="0" applyFont="1" applyFill="1" applyBorder="1"/>
    <xf numFmtId="0" fontId="82" fillId="3" borderId="3" xfId="0" applyFont="1" applyFill="1" applyBorder="1"/>
    <xf numFmtId="0" fontId="17" fillId="0" borderId="4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82" fillId="2" borderId="2" xfId="0" applyFont="1" applyFill="1" applyBorder="1"/>
    <xf numFmtId="0" fontId="82" fillId="2" borderId="3" xfId="0" applyFont="1" applyFill="1" applyBorder="1"/>
    <xf numFmtId="0" fontId="17" fillId="0" borderId="1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51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8" fillId="2" borderId="2" xfId="0" applyFont="1" applyFill="1" applyBorder="1" applyAlignment="1">
      <alignment horizontal="center" vertical="center" wrapText="1"/>
    </xf>
    <xf numFmtId="0" fontId="78" fillId="2" borderId="3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78" fillId="3" borderId="2" xfId="0" applyFont="1" applyFill="1" applyBorder="1" applyAlignment="1">
      <alignment horizontal="center" vertical="center" wrapText="1"/>
    </xf>
    <xf numFmtId="0" fontId="78" fillId="3" borderId="3" xfId="0" applyFont="1" applyFill="1" applyBorder="1" applyAlignment="1">
      <alignment horizontal="center" vertical="center" wrapText="1"/>
    </xf>
    <xf numFmtId="49" fontId="78" fillId="0" borderId="1" xfId="0" applyNumberFormat="1" applyFon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0" fontId="78" fillId="2" borderId="1" xfId="0" applyFont="1" applyFill="1" applyBorder="1" applyAlignment="1">
      <alignment horizontal="center" vertical="center"/>
    </xf>
    <xf numFmtId="0" fontId="78" fillId="2" borderId="2" xfId="0" applyFont="1" applyFill="1" applyBorder="1" applyAlignment="1">
      <alignment horizontal="center" vertical="center"/>
    </xf>
    <xf numFmtId="0" fontId="78" fillId="2" borderId="3" xfId="0" applyFont="1" applyFill="1" applyBorder="1" applyAlignment="1">
      <alignment horizontal="center" vertical="center"/>
    </xf>
    <xf numFmtId="0" fontId="78" fillId="2" borderId="5" xfId="0" applyFont="1" applyFill="1" applyBorder="1" applyAlignment="1">
      <alignment horizontal="center" vertical="center"/>
    </xf>
    <xf numFmtId="0" fontId="78" fillId="3" borderId="5" xfId="0" applyFont="1" applyFill="1" applyBorder="1" applyAlignment="1">
      <alignment horizontal="center" vertical="center"/>
    </xf>
    <xf numFmtId="49" fontId="83" fillId="0" borderId="4" xfId="0" applyNumberFormat="1" applyFont="1" applyBorder="1" applyAlignment="1">
      <alignment horizontal="center" vertical="center"/>
    </xf>
    <xf numFmtId="49" fontId="83" fillId="0" borderId="8" xfId="0" applyNumberFormat="1" applyFont="1" applyBorder="1" applyAlignment="1">
      <alignment horizontal="center" vertical="center"/>
    </xf>
    <xf numFmtId="49" fontId="83" fillId="0" borderId="6" xfId="0" applyNumberFormat="1" applyFont="1" applyBorder="1" applyAlignment="1">
      <alignment horizontal="center" vertical="center"/>
    </xf>
    <xf numFmtId="0" fontId="83" fillId="0" borderId="4" xfId="0" applyFont="1" applyBorder="1" applyAlignment="1">
      <alignment horizontal="center" vertical="center" wrapText="1"/>
    </xf>
    <xf numFmtId="0" fontId="83" fillId="0" borderId="8" xfId="0" applyFont="1" applyBorder="1" applyAlignment="1">
      <alignment horizontal="center" vertical="center" wrapText="1"/>
    </xf>
    <xf numFmtId="0" fontId="83" fillId="0" borderId="6" xfId="0" applyFont="1" applyBorder="1" applyAlignment="1">
      <alignment horizontal="center" vertical="center" wrapText="1"/>
    </xf>
    <xf numFmtId="0" fontId="83" fillId="0" borderId="4" xfId="0" applyFont="1" applyBorder="1" applyAlignment="1">
      <alignment horizontal="center" vertical="center"/>
    </xf>
    <xf numFmtId="0" fontId="83" fillId="0" borderId="8" xfId="0" applyFont="1" applyBorder="1" applyAlignment="1">
      <alignment horizontal="center" vertical="center"/>
    </xf>
    <xf numFmtId="0" fontId="83" fillId="0" borderId="6" xfId="0" applyFont="1" applyBorder="1" applyAlignment="1">
      <alignment horizontal="center" vertical="center"/>
    </xf>
    <xf numFmtId="0" fontId="58" fillId="0" borderId="0" xfId="0" applyFont="1" applyAlignment="1">
      <alignment horizontal="center" wrapText="1"/>
    </xf>
    <xf numFmtId="0" fontId="21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wrapText="1"/>
    </xf>
    <xf numFmtId="0" fontId="21" fillId="4" borderId="0" xfId="0" applyFont="1" applyFill="1" applyAlignment="1" applyProtection="1">
      <alignment horizontal="center"/>
      <protection hidden="1"/>
    </xf>
    <xf numFmtId="0" fontId="6" fillId="4" borderId="0" xfId="0" applyFont="1" applyFill="1" applyAlignment="1" applyProtection="1">
      <alignment horizontal="left"/>
      <protection hidden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4" fillId="3" borderId="1" xfId="0" applyFont="1" applyFill="1" applyBorder="1" applyAlignment="1">
      <alignment horizontal="center"/>
    </xf>
    <xf numFmtId="0" fontId="24" fillId="3" borderId="2" xfId="0" applyFont="1" applyFill="1" applyBorder="1" applyAlignment="1">
      <alignment horizontal="center"/>
    </xf>
    <xf numFmtId="0" fontId="24" fillId="3" borderId="3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16" fillId="0" borderId="4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16" fillId="0" borderId="4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37" fillId="0" borderId="0" xfId="0" applyFont="1" applyAlignment="1">
      <alignment horizontal="left" vertical="center" wrapText="1"/>
    </xf>
    <xf numFmtId="0" fontId="56" fillId="0" borderId="0" xfId="0" applyFont="1" applyAlignment="1">
      <alignment horizontal="left" vertical="center" wrapText="1"/>
    </xf>
    <xf numFmtId="0" fontId="64" fillId="0" borderId="7" xfId="0" applyFont="1" applyBorder="1" applyAlignment="1">
      <alignment horizontal="left" vertical="center" wrapText="1"/>
    </xf>
    <xf numFmtId="0" fontId="65" fillId="0" borderId="4" xfId="0" applyFont="1" applyBorder="1" applyAlignment="1">
      <alignment horizontal="center" vertical="center" wrapText="1"/>
    </xf>
    <xf numFmtId="0" fontId="65" fillId="0" borderId="6" xfId="0" applyFont="1" applyBorder="1" applyAlignment="1">
      <alignment horizontal="center" vertical="center" wrapText="1"/>
    </xf>
    <xf numFmtId="0" fontId="65" fillId="0" borderId="2" xfId="0" applyFont="1" applyBorder="1" applyAlignment="1">
      <alignment horizontal="center" vertical="center" wrapText="1"/>
    </xf>
    <xf numFmtId="0" fontId="65" fillId="0" borderId="3" xfId="0" applyFont="1" applyBorder="1" applyAlignment="1">
      <alignment horizontal="center" vertical="center" wrapText="1"/>
    </xf>
    <xf numFmtId="0" fontId="65" fillId="0" borderId="4" xfId="0" applyFont="1" applyBorder="1" applyAlignment="1">
      <alignment horizontal="center" vertical="center" textRotation="90" wrapText="1"/>
    </xf>
    <xf numFmtId="0" fontId="65" fillId="0" borderId="6" xfId="0" applyFont="1" applyBorder="1" applyAlignment="1">
      <alignment horizontal="center" vertical="center" textRotation="90" wrapText="1"/>
    </xf>
    <xf numFmtId="0" fontId="17" fillId="0" borderId="8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top" wrapText="1"/>
    </xf>
    <xf numFmtId="0" fontId="17" fillId="4" borderId="8" xfId="0" applyFont="1" applyFill="1" applyBorder="1" applyAlignment="1">
      <alignment horizontal="center" vertical="top" wrapText="1"/>
    </xf>
    <xf numFmtId="0" fontId="17" fillId="4" borderId="1" xfId="0" applyFont="1" applyFill="1" applyBorder="1" applyAlignment="1">
      <alignment horizontal="center" vertical="top" wrapText="1"/>
    </xf>
    <xf numFmtId="0" fontId="17" fillId="4" borderId="3" xfId="0" applyFont="1" applyFill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37" fillId="4" borderId="0" xfId="0" applyFont="1" applyFill="1" applyAlignment="1">
      <alignment horizontal="left" wrapText="1"/>
    </xf>
    <xf numFmtId="0" fontId="2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56" fillId="0" borderId="0" xfId="0" applyFont="1" applyAlignment="1">
      <alignment vertical="center"/>
    </xf>
    <xf numFmtId="0" fontId="37" fillId="0" borderId="0" xfId="0" applyFont="1" applyAlignment="1">
      <alignment vertical="center" wrapText="1"/>
    </xf>
    <xf numFmtId="0" fontId="37" fillId="0" borderId="0" xfId="0" applyFont="1" applyAlignment="1">
      <alignment horizontal="left" wrapText="1"/>
    </xf>
    <xf numFmtId="0" fontId="37" fillId="0" borderId="0" xfId="0" applyFont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34" fillId="3" borderId="11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30" fillId="0" borderId="17" xfId="0" applyFont="1" applyBorder="1" applyAlignment="1">
      <alignment horizontal="right" vertical="center"/>
    </xf>
    <xf numFmtId="0" fontId="32" fillId="0" borderId="9" xfId="0" applyFont="1" applyBorder="1" applyAlignment="1">
      <alignment horizontal="right" vertical="center"/>
    </xf>
    <xf numFmtId="0" fontId="32" fillId="0" borderId="14" xfId="0" applyFont="1" applyBorder="1" applyAlignment="1">
      <alignment horizontal="right" vertical="center"/>
    </xf>
    <xf numFmtId="0" fontId="32" fillId="0" borderId="17" xfId="0" applyFont="1" applyBorder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16" xfId="0" applyFont="1" applyBorder="1" applyAlignment="1">
      <alignment horizontal="right" vertical="center"/>
    </xf>
    <xf numFmtId="0" fontId="32" fillId="0" borderId="10" xfId="0" applyFont="1" applyBorder="1" applyAlignment="1">
      <alignment horizontal="right" vertical="center"/>
    </xf>
    <xf numFmtId="0" fontId="32" fillId="0" borderId="7" xfId="0" applyFont="1" applyBorder="1" applyAlignment="1">
      <alignment horizontal="right" vertical="center"/>
    </xf>
    <xf numFmtId="0" fontId="32" fillId="0" borderId="15" xfId="0" applyFont="1" applyBorder="1" applyAlignment="1">
      <alignment horizontal="right" vertical="center"/>
    </xf>
    <xf numFmtId="0" fontId="56" fillId="0" borderId="0" xfId="0" applyFont="1" applyAlignment="1">
      <alignment horizontal="left" vertical="center"/>
    </xf>
    <xf numFmtId="49" fontId="27" fillId="0" borderId="4" xfId="0" applyNumberFormat="1" applyFont="1" applyBorder="1" applyAlignment="1" applyProtection="1">
      <alignment horizontal="center" vertical="center" wrapText="1"/>
      <protection hidden="1"/>
    </xf>
    <xf numFmtId="49" fontId="27" fillId="0" borderId="8" xfId="0" applyNumberFormat="1" applyFont="1" applyBorder="1" applyAlignment="1" applyProtection="1">
      <alignment horizontal="center" vertical="center" wrapText="1"/>
      <protection hidden="1"/>
    </xf>
    <xf numFmtId="49" fontId="27" fillId="0" borderId="6" xfId="0" applyNumberFormat="1" applyFont="1" applyBorder="1" applyAlignment="1" applyProtection="1">
      <alignment horizontal="center" vertical="center" wrapText="1"/>
      <protection hidden="1"/>
    </xf>
    <xf numFmtId="0" fontId="27" fillId="0" borderId="4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49" fontId="27" fillId="0" borderId="4" xfId="0" applyNumberFormat="1" applyFont="1" applyBorder="1" applyAlignment="1" applyProtection="1">
      <alignment horizontal="center" vertical="center"/>
      <protection hidden="1"/>
    </xf>
    <xf numFmtId="49" fontId="27" fillId="0" borderId="8" xfId="0" applyNumberFormat="1" applyFont="1" applyBorder="1" applyAlignment="1" applyProtection="1">
      <alignment horizontal="center" vertical="center"/>
      <protection hidden="1"/>
    </xf>
    <xf numFmtId="49" fontId="27" fillId="0" borderId="6" xfId="0" applyNumberFormat="1" applyFont="1" applyBorder="1" applyAlignment="1" applyProtection="1">
      <alignment horizontal="center" vertical="center"/>
      <protection hidden="1"/>
    </xf>
    <xf numFmtId="0" fontId="27" fillId="0" borderId="4" xfId="0" applyFont="1" applyBorder="1" applyAlignment="1" applyProtection="1">
      <alignment horizontal="center" vertical="center"/>
      <protection hidden="1"/>
    </xf>
    <xf numFmtId="0" fontId="27" fillId="0" borderId="8" xfId="0" applyFont="1" applyBorder="1" applyAlignment="1" applyProtection="1">
      <alignment horizontal="center" vertical="center"/>
      <protection hidden="1"/>
    </xf>
    <xf numFmtId="0" fontId="27" fillId="0" borderId="6" xfId="0" applyFont="1" applyBorder="1" applyAlignment="1" applyProtection="1">
      <alignment horizontal="center" vertical="center"/>
      <protection hidden="1"/>
    </xf>
    <xf numFmtId="165" fontId="27" fillId="0" borderId="4" xfId="0" applyNumberFormat="1" applyFont="1" applyBorder="1" applyAlignment="1" applyProtection="1">
      <alignment horizontal="center" vertical="center"/>
      <protection hidden="1"/>
    </xf>
    <xf numFmtId="165" fontId="27" fillId="0" borderId="8" xfId="0" applyNumberFormat="1" applyFont="1" applyBorder="1" applyAlignment="1" applyProtection="1">
      <alignment horizontal="center" vertical="center"/>
      <protection hidden="1"/>
    </xf>
    <xf numFmtId="165" fontId="27" fillId="0" borderId="6" xfId="0" applyNumberFormat="1" applyFont="1" applyBorder="1" applyAlignment="1" applyProtection="1">
      <alignment horizontal="center" vertical="center"/>
      <protection hidden="1"/>
    </xf>
    <xf numFmtId="0" fontId="27" fillId="0" borderId="4" xfId="0" applyFont="1" applyBorder="1" applyAlignment="1" applyProtection="1">
      <alignment horizontal="center" vertical="center" wrapText="1"/>
      <protection hidden="1"/>
    </xf>
    <xf numFmtId="0" fontId="27" fillId="0" borderId="8" xfId="0" applyFont="1" applyBorder="1" applyAlignment="1" applyProtection="1">
      <alignment horizontal="center" vertical="center" wrapText="1"/>
      <protection hidden="1"/>
    </xf>
    <xf numFmtId="0" fontId="27" fillId="0" borderId="6" xfId="0" applyFont="1" applyBorder="1" applyAlignment="1" applyProtection="1">
      <alignment horizontal="center" vertical="center" wrapText="1"/>
      <protection hidden="1"/>
    </xf>
    <xf numFmtId="0" fontId="25" fillId="0" borderId="4" xfId="0" applyFont="1" applyBorder="1" applyAlignment="1">
      <alignment horizontal="center" vertical="center" textRotation="90" wrapText="1"/>
    </xf>
    <xf numFmtId="0" fontId="25" fillId="0" borderId="8" xfId="0" applyFont="1" applyBorder="1" applyAlignment="1">
      <alignment horizontal="center" vertical="center" textRotation="90" wrapText="1"/>
    </xf>
    <xf numFmtId="0" fontId="25" fillId="4" borderId="4" xfId="0" applyFont="1" applyFill="1" applyBorder="1" applyAlignment="1">
      <alignment horizontal="center" vertical="center" textRotation="90" wrapText="1"/>
    </xf>
    <xf numFmtId="0" fontId="25" fillId="4" borderId="8" xfId="0" applyFont="1" applyFill="1" applyBorder="1" applyAlignment="1">
      <alignment horizontal="center" vertical="center" textRotation="90" wrapText="1"/>
    </xf>
    <xf numFmtId="0" fontId="25" fillId="4" borderId="0" xfId="0" applyFont="1" applyFill="1" applyAlignment="1">
      <alignment horizontal="center"/>
    </xf>
    <xf numFmtId="0" fontId="25" fillId="4" borderId="32" xfId="0" applyFont="1" applyFill="1" applyBorder="1" applyAlignment="1">
      <alignment horizontal="center" vertical="center" textRotation="90" wrapText="1"/>
    </xf>
    <xf numFmtId="0" fontId="56" fillId="0" borderId="7" xfId="0" applyFont="1" applyBorder="1" applyAlignment="1">
      <alignment horizontal="center"/>
    </xf>
    <xf numFmtId="0" fontId="25" fillId="4" borderId="6" xfId="0" applyFont="1" applyFill="1" applyBorder="1" applyAlignment="1">
      <alignment horizontal="center" vertical="center" textRotation="90" wrapText="1"/>
    </xf>
    <xf numFmtId="0" fontId="25" fillId="0" borderId="4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4" borderId="5" xfId="0" applyFont="1" applyFill="1" applyBorder="1" applyAlignment="1">
      <alignment horizontal="center"/>
    </xf>
    <xf numFmtId="0" fontId="56" fillId="0" borderId="4" xfId="0" applyFont="1" applyBorder="1" applyAlignment="1">
      <alignment horizontal="center" vertical="center" textRotation="90" wrapText="1"/>
    </xf>
    <xf numFmtId="0" fontId="56" fillId="0" borderId="8" xfId="0" applyFont="1" applyBorder="1" applyAlignment="1">
      <alignment horizontal="center" vertical="center" textRotation="90" wrapText="1"/>
    </xf>
    <xf numFmtId="0" fontId="58" fillId="0" borderId="0" xfId="0" applyFont="1" applyAlignment="1">
      <alignment horizontal="center" vertical="center"/>
    </xf>
    <xf numFmtId="0" fontId="25" fillId="9" borderId="1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25" fillId="11" borderId="4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11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view="pageBreakPreview" zoomScaleNormal="100" zoomScaleSheetLayoutView="100" workbookViewId="0">
      <selection activeCell="C20" sqref="C20"/>
    </sheetView>
  </sheetViews>
  <sheetFormatPr defaultRowHeight="15" x14ac:dyDescent="0.25"/>
  <sheetData>
    <row r="1" spans="1:9" ht="44.25" customHeight="1" x14ac:dyDescent="0.25">
      <c r="A1" s="401" t="s">
        <v>380</v>
      </c>
      <c r="B1" s="401"/>
      <c r="C1" s="401"/>
      <c r="D1" s="401"/>
      <c r="E1" s="401"/>
      <c r="F1" s="401"/>
      <c r="G1" s="401"/>
      <c r="H1" s="401"/>
      <c r="I1" s="401"/>
    </row>
    <row r="2" spans="1:9" ht="13.5" customHeight="1" x14ac:dyDescent="0.25">
      <c r="A2" s="400"/>
      <c r="B2" s="400"/>
      <c r="C2" s="400"/>
      <c r="D2" s="400"/>
      <c r="E2" s="400"/>
      <c r="F2" s="400"/>
      <c r="G2" s="400"/>
      <c r="H2" s="400"/>
      <c r="I2" s="400"/>
    </row>
    <row r="3" spans="1:9" ht="56.25" customHeight="1" x14ac:dyDescent="0.25">
      <c r="A3" s="402" t="s">
        <v>209</v>
      </c>
      <c r="B3" s="402"/>
      <c r="C3" s="402"/>
      <c r="D3" s="402"/>
      <c r="E3" s="402"/>
      <c r="F3" s="402"/>
      <c r="G3" s="402"/>
      <c r="H3" s="402"/>
      <c r="I3" s="402"/>
    </row>
    <row r="4" spans="1:9" ht="30" customHeight="1" x14ac:dyDescent="0.25">
      <c r="A4" s="403" t="s">
        <v>210</v>
      </c>
      <c r="B4" s="403"/>
      <c r="C4" s="403"/>
      <c r="D4" s="403"/>
      <c r="E4" s="403"/>
      <c r="F4" s="403"/>
      <c r="G4" s="403"/>
      <c r="H4" s="403"/>
      <c r="I4" s="403"/>
    </row>
    <row r="5" spans="1:9" ht="30" customHeight="1" x14ac:dyDescent="0.25">
      <c r="A5" s="399" t="s">
        <v>344</v>
      </c>
      <c r="B5" s="399"/>
      <c r="C5" s="399"/>
      <c r="D5" s="399"/>
      <c r="E5" s="399"/>
      <c r="F5" s="399"/>
      <c r="G5" s="399"/>
      <c r="H5" s="399"/>
      <c r="I5" s="399"/>
    </row>
    <row r="6" spans="1:9" ht="30" customHeight="1" x14ac:dyDescent="0.25">
      <c r="A6" s="399" t="s">
        <v>345</v>
      </c>
      <c r="B6" s="399"/>
      <c r="C6" s="399"/>
      <c r="D6" s="399"/>
      <c r="E6" s="399"/>
      <c r="F6" s="399"/>
      <c r="G6" s="399"/>
      <c r="H6" s="399"/>
      <c r="I6" s="399"/>
    </row>
    <row r="7" spans="1:9" ht="30" customHeight="1" x14ac:dyDescent="0.25">
      <c r="A7" s="404" t="s">
        <v>346</v>
      </c>
      <c r="B7" s="404"/>
      <c r="C7" s="404"/>
      <c r="D7" s="404"/>
      <c r="E7" s="404"/>
      <c r="F7" s="404"/>
      <c r="G7" s="404"/>
      <c r="H7" s="404"/>
      <c r="I7" s="404"/>
    </row>
    <row r="8" spans="1:9" ht="30" customHeight="1" x14ac:dyDescent="0.25">
      <c r="A8" s="405" t="s">
        <v>347</v>
      </c>
      <c r="B8" s="405"/>
      <c r="C8" s="405"/>
      <c r="D8" s="405"/>
      <c r="E8" s="405"/>
      <c r="F8" s="405"/>
      <c r="G8" s="405"/>
      <c r="H8" s="405"/>
      <c r="I8" s="405"/>
    </row>
    <row r="9" spans="1:9" ht="30" customHeight="1" x14ac:dyDescent="0.25">
      <c r="A9" s="405" t="s">
        <v>348</v>
      </c>
      <c r="B9" s="405"/>
      <c r="C9" s="405"/>
      <c r="D9" s="405"/>
      <c r="E9" s="405"/>
      <c r="F9" s="405"/>
      <c r="G9" s="405"/>
      <c r="H9" s="405"/>
      <c r="I9" s="405"/>
    </row>
    <row r="10" spans="1:9" ht="30" customHeight="1" x14ac:dyDescent="0.25">
      <c r="A10" s="405" t="s">
        <v>349</v>
      </c>
      <c r="B10" s="405"/>
      <c r="C10" s="405"/>
      <c r="D10" s="405"/>
      <c r="E10" s="405"/>
      <c r="F10" s="405"/>
      <c r="G10" s="405"/>
      <c r="H10" s="405"/>
      <c r="I10" s="405"/>
    </row>
    <row r="11" spans="1:9" ht="30" customHeight="1" x14ac:dyDescent="0.25">
      <c r="A11" s="405" t="s">
        <v>350</v>
      </c>
      <c r="B11" s="405"/>
      <c r="C11" s="405"/>
      <c r="D11" s="405"/>
      <c r="E11" s="405"/>
      <c r="F11" s="405"/>
      <c r="G11" s="405"/>
      <c r="H11" s="405"/>
      <c r="I11" s="405"/>
    </row>
  </sheetData>
  <mergeCells count="11">
    <mergeCell ref="A7:I7"/>
    <mergeCell ref="A8:I8"/>
    <mergeCell ref="A9:I9"/>
    <mergeCell ref="A10:I10"/>
    <mergeCell ref="A11:I11"/>
    <mergeCell ref="A6:I6"/>
    <mergeCell ref="A2:I2"/>
    <mergeCell ref="A1:I1"/>
    <mergeCell ref="A3:I3"/>
    <mergeCell ref="A4:I4"/>
    <mergeCell ref="A5:I5"/>
  </mergeCells>
  <pageMargins left="0.78740157480314965" right="0.59055118110236227" top="0.59055118110236227" bottom="0.59055118110236227" header="0.31496062992125984" footer="0.31496062992125984"/>
  <pageSetup paperSize="9" firstPageNumber="237" orientation="portrait" useFirstPageNumber="1" horizontalDpi="1200" verticalDpi="1200" r:id="rId1"/>
  <headerFooter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AJ327"/>
  <sheetViews>
    <sheetView view="pageBreakPreview" topLeftCell="A307" zoomScaleNormal="100" zoomScaleSheetLayoutView="100" workbookViewId="0">
      <selection activeCell="A36" sqref="A36:XFD36"/>
    </sheetView>
  </sheetViews>
  <sheetFormatPr defaultRowHeight="15" x14ac:dyDescent="0.25"/>
  <cols>
    <col min="1" max="1" width="7.28515625" customWidth="1"/>
    <col min="2" max="2" width="12.140625" customWidth="1"/>
    <col min="4" max="4" width="9.28515625" customWidth="1"/>
    <col min="5" max="5" width="5.140625" customWidth="1"/>
    <col min="6" max="6" width="4.5703125" customWidth="1"/>
    <col min="7" max="7" width="5.140625" customWidth="1"/>
    <col min="8" max="8" width="5" customWidth="1"/>
    <col min="9" max="10" width="4.85546875" customWidth="1"/>
    <col min="11" max="11" width="4.7109375" customWidth="1"/>
    <col min="12" max="12" width="4.42578125" customWidth="1"/>
    <col min="13" max="13" width="4.7109375" customWidth="1"/>
    <col min="14" max="14" width="5" customWidth="1"/>
    <col min="15" max="15" width="4" customWidth="1"/>
    <col min="16" max="16" width="4.42578125" style="1" customWidth="1"/>
    <col min="17" max="17" width="3.7109375" style="1" customWidth="1"/>
    <col min="18" max="18" width="4" style="1" customWidth="1"/>
    <col min="19" max="19" width="5.28515625" customWidth="1"/>
    <col min="20" max="28" width="0" hidden="1" customWidth="1"/>
    <col min="29" max="29" width="13.28515625" customWidth="1"/>
    <col min="30" max="30" width="5.5703125" customWidth="1"/>
    <col min="31" max="33" width="6.7109375" customWidth="1"/>
    <col min="34" max="34" width="7.7109375" customWidth="1"/>
  </cols>
  <sheetData>
    <row r="1" spans="1:31" ht="18.75" x14ac:dyDescent="0.3">
      <c r="A1" s="516" t="s">
        <v>371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  <c r="U1" s="516"/>
      <c r="V1" s="516"/>
      <c r="W1" s="516"/>
      <c r="X1" s="516"/>
      <c r="Y1" s="516"/>
      <c r="Z1" s="516"/>
      <c r="AA1" s="516"/>
      <c r="AB1" s="516"/>
      <c r="AC1" s="516"/>
      <c r="AD1" s="516"/>
      <c r="AE1" s="516"/>
    </row>
    <row r="2" spans="1:31" ht="9.75" customHeight="1" x14ac:dyDescent="0.25">
      <c r="P2"/>
      <c r="Q2"/>
      <c r="R2"/>
    </row>
    <row r="3" spans="1:31" ht="18" customHeight="1" x14ac:dyDescent="0.25">
      <c r="A3" s="498" t="s">
        <v>316</v>
      </c>
      <c r="B3" s="537"/>
      <c r="C3" s="537"/>
      <c r="D3" s="537"/>
      <c r="E3" s="537"/>
      <c r="F3" s="537"/>
      <c r="G3" s="537"/>
      <c r="H3" s="537"/>
      <c r="I3" s="537"/>
      <c r="J3" s="537"/>
      <c r="K3" s="537"/>
      <c r="L3" s="537"/>
      <c r="M3" s="537"/>
      <c r="N3" s="537"/>
      <c r="O3" s="537"/>
      <c r="P3" s="537"/>
      <c r="Q3" s="537"/>
      <c r="R3" s="537"/>
      <c r="S3" s="537"/>
      <c r="T3" s="537"/>
      <c r="U3" s="537"/>
      <c r="V3" s="537"/>
      <c r="W3" s="537"/>
      <c r="X3" s="537"/>
      <c r="Y3" s="537"/>
      <c r="Z3" s="537"/>
      <c r="AA3" s="537"/>
      <c r="AB3" s="537"/>
      <c r="AC3" s="537"/>
      <c r="AD3" s="537"/>
      <c r="AE3" s="537"/>
    </row>
    <row r="4" spans="1:31" ht="39" customHeight="1" x14ac:dyDescent="0.25">
      <c r="A4" s="498" t="s">
        <v>317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37"/>
      <c r="P4" s="537"/>
      <c r="Q4" s="537"/>
      <c r="R4" s="537"/>
      <c r="S4" s="537"/>
      <c r="T4" s="537"/>
      <c r="U4" s="537"/>
      <c r="V4" s="537"/>
      <c r="W4" s="537"/>
      <c r="X4" s="537"/>
      <c r="Y4" s="537"/>
      <c r="Z4" s="537"/>
      <c r="AA4" s="537"/>
      <c r="AB4" s="537"/>
      <c r="AC4" s="537"/>
      <c r="AD4" s="537"/>
      <c r="AE4" s="537"/>
    </row>
    <row r="5" spans="1:31" s="96" customFormat="1" ht="7.5" customHeight="1" x14ac:dyDescent="0.25"/>
    <row r="6" spans="1:31" s="96" customFormat="1" ht="38.25" customHeight="1" x14ac:dyDescent="0.25">
      <c r="A6" s="497" t="s">
        <v>318</v>
      </c>
      <c r="B6" s="497"/>
      <c r="C6" s="497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497"/>
      <c r="Q6" s="497"/>
      <c r="R6" s="497"/>
      <c r="S6" s="497"/>
      <c r="T6" s="497"/>
      <c r="U6" s="497"/>
      <c r="V6" s="497"/>
      <c r="W6" s="497"/>
      <c r="X6" s="497"/>
      <c r="Y6" s="497"/>
      <c r="Z6" s="497"/>
      <c r="AA6" s="497"/>
      <c r="AB6" s="497"/>
      <c r="AC6" s="497"/>
      <c r="AD6" s="497"/>
      <c r="AE6" s="497"/>
    </row>
    <row r="7" spans="1:31" s="96" customFormat="1" ht="18.75" x14ac:dyDescent="0.25">
      <c r="A7" s="521" t="s">
        <v>319</v>
      </c>
      <c r="B7" s="521"/>
      <c r="C7" s="521"/>
      <c r="D7" s="521"/>
      <c r="E7" s="521"/>
      <c r="F7" s="521"/>
      <c r="G7" s="521"/>
      <c r="H7" s="521"/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1"/>
      <c r="T7" s="521"/>
      <c r="U7" s="521"/>
      <c r="V7" s="521"/>
      <c r="W7" s="521"/>
      <c r="X7" s="521"/>
      <c r="Y7" s="521"/>
      <c r="Z7" s="521"/>
      <c r="AA7" s="521"/>
      <c r="AB7" s="521"/>
      <c r="AC7" s="521"/>
      <c r="AD7" s="521"/>
      <c r="AE7" s="521"/>
    </row>
    <row r="8" spans="1:31" s="96" customFormat="1" ht="15" customHeight="1" x14ac:dyDescent="0.25">
      <c r="A8" s="96" t="s">
        <v>229</v>
      </c>
    </row>
    <row r="9" spans="1:31" s="96" customFormat="1" ht="15" customHeight="1" x14ac:dyDescent="0.25">
      <c r="A9" s="406" t="s">
        <v>420</v>
      </c>
      <c r="B9" s="406"/>
      <c r="C9" s="406"/>
      <c r="D9" s="406"/>
      <c r="E9" s="406"/>
      <c r="F9" s="406"/>
      <c r="G9" s="406"/>
      <c r="H9" s="406"/>
      <c r="I9" s="406"/>
      <c r="J9" s="406"/>
      <c r="K9" s="406"/>
      <c r="L9" s="406"/>
      <c r="M9" s="406"/>
      <c r="N9" s="406"/>
      <c r="O9" s="406"/>
      <c r="P9" s="406"/>
      <c r="Q9" s="406"/>
      <c r="R9" s="406"/>
      <c r="S9" s="406"/>
      <c r="T9" s="406"/>
      <c r="U9" s="406"/>
      <c r="V9" s="406"/>
      <c r="W9" s="406"/>
      <c r="X9" s="406"/>
      <c r="Y9" s="406"/>
      <c r="Z9" s="406"/>
      <c r="AA9" s="406"/>
      <c r="AB9" s="406"/>
      <c r="AC9" s="406"/>
      <c r="AD9" s="406"/>
      <c r="AE9" s="406"/>
    </row>
    <row r="10" spans="1:31" s="96" customFormat="1" ht="15" customHeight="1" x14ac:dyDescent="0.25">
      <c r="A10" s="406" t="s">
        <v>421</v>
      </c>
      <c r="B10" s="406"/>
      <c r="C10" s="406"/>
      <c r="D10" s="406"/>
      <c r="E10" s="406"/>
      <c r="F10" s="406"/>
      <c r="G10" s="406"/>
      <c r="H10" s="406"/>
      <c r="I10" s="406"/>
      <c r="J10" s="406"/>
      <c r="K10" s="406"/>
      <c r="L10" s="406"/>
      <c r="M10" s="406"/>
      <c r="N10" s="406"/>
      <c r="O10" s="406"/>
      <c r="P10" s="406"/>
      <c r="Q10" s="406"/>
      <c r="R10" s="406"/>
      <c r="S10" s="406"/>
      <c r="T10" s="406"/>
      <c r="U10" s="406"/>
      <c r="V10" s="406"/>
      <c r="W10" s="406"/>
      <c r="X10" s="406"/>
      <c r="Y10" s="406"/>
      <c r="Z10" s="406"/>
      <c r="AA10" s="406"/>
      <c r="AB10" s="406"/>
      <c r="AC10" s="406"/>
      <c r="AD10" s="406"/>
      <c r="AE10" s="406"/>
    </row>
    <row r="11" spans="1:31" s="96" customFormat="1" ht="15" customHeight="1" x14ac:dyDescent="0.25">
      <c r="A11" s="406" t="s">
        <v>422</v>
      </c>
      <c r="B11" s="406"/>
      <c r="C11" s="406"/>
      <c r="D11" s="406"/>
      <c r="E11" s="406"/>
      <c r="F11" s="406"/>
      <c r="G11" s="406"/>
      <c r="H11" s="406"/>
      <c r="I11" s="406"/>
      <c r="J11" s="406"/>
      <c r="K11" s="406"/>
      <c r="L11" s="406"/>
      <c r="M11" s="406"/>
      <c r="N11" s="406"/>
      <c r="O11" s="406"/>
      <c r="P11" s="406"/>
      <c r="Q11" s="406"/>
      <c r="R11" s="406"/>
      <c r="S11" s="406"/>
      <c r="T11" s="406"/>
      <c r="U11" s="406"/>
      <c r="V11" s="406"/>
      <c r="W11" s="406"/>
      <c r="X11" s="406"/>
      <c r="Y11" s="406"/>
      <c r="Z11" s="406"/>
      <c r="AA11" s="406"/>
      <c r="AB11" s="406"/>
      <c r="AC11" s="406"/>
      <c r="AD11" s="406"/>
      <c r="AE11" s="406"/>
    </row>
    <row r="12" spans="1:31" s="96" customFormat="1" ht="15" customHeight="1" x14ac:dyDescent="0.25">
      <c r="A12" s="406" t="s">
        <v>423</v>
      </c>
      <c r="B12" s="406"/>
      <c r="C12" s="406"/>
      <c r="D12" s="406"/>
      <c r="E12" s="406"/>
      <c r="F12" s="406"/>
      <c r="G12" s="406"/>
      <c r="H12" s="406"/>
      <c r="I12" s="406"/>
      <c r="J12" s="406"/>
      <c r="K12" s="406"/>
      <c r="L12" s="406"/>
      <c r="M12" s="406"/>
      <c r="N12" s="406"/>
      <c r="O12" s="406"/>
      <c r="P12" s="406"/>
      <c r="Q12" s="406"/>
      <c r="R12" s="406"/>
      <c r="S12" s="406"/>
      <c r="T12" s="406"/>
      <c r="U12" s="406"/>
      <c r="V12" s="406"/>
      <c r="W12" s="406"/>
      <c r="X12" s="406"/>
      <c r="Y12" s="406"/>
      <c r="Z12" s="406"/>
      <c r="AA12" s="406"/>
      <c r="AB12" s="406"/>
      <c r="AC12" s="406"/>
      <c r="AD12" s="406"/>
      <c r="AE12" s="406"/>
    </row>
    <row r="13" spans="1:31" s="96" customFormat="1" ht="15" customHeight="1" x14ac:dyDescent="0.25">
      <c r="A13" s="406" t="s">
        <v>424</v>
      </c>
      <c r="B13" s="406"/>
      <c r="C13" s="406"/>
      <c r="D13" s="406"/>
      <c r="E13" s="406"/>
      <c r="F13" s="406"/>
      <c r="G13" s="406"/>
      <c r="H13" s="406"/>
      <c r="I13" s="406"/>
      <c r="J13" s="406"/>
      <c r="K13" s="406"/>
      <c r="L13" s="406"/>
      <c r="M13" s="406"/>
      <c r="N13" s="406"/>
      <c r="O13" s="406"/>
      <c r="P13" s="406"/>
      <c r="Q13" s="406"/>
      <c r="R13" s="406"/>
      <c r="S13" s="406"/>
      <c r="T13" s="406"/>
      <c r="U13" s="406"/>
      <c r="V13" s="406"/>
      <c r="W13" s="406"/>
      <c r="X13" s="406"/>
      <c r="Y13" s="406"/>
      <c r="Z13" s="406"/>
      <c r="AA13" s="406"/>
      <c r="AB13" s="406"/>
      <c r="AC13" s="406"/>
      <c r="AD13" s="406"/>
      <c r="AE13" s="406"/>
    </row>
    <row r="14" spans="1:31" s="96" customFormat="1" ht="9.75" customHeight="1" x14ac:dyDescent="0.25"/>
    <row r="15" spans="1:31" s="90" customFormat="1" ht="18.75" x14ac:dyDescent="0.3">
      <c r="A15" s="520" t="s">
        <v>320</v>
      </c>
      <c r="B15" s="520"/>
      <c r="C15" s="520"/>
      <c r="D15" s="520"/>
      <c r="E15" s="520"/>
      <c r="F15" s="520"/>
      <c r="G15" s="520"/>
      <c r="H15" s="520"/>
      <c r="I15" s="520"/>
      <c r="J15" s="520"/>
      <c r="K15" s="520"/>
      <c r="L15" s="520"/>
      <c r="M15" s="520"/>
      <c r="N15" s="520"/>
      <c r="O15" s="520"/>
      <c r="P15" s="520"/>
      <c r="Q15" s="520"/>
      <c r="R15" s="520"/>
      <c r="S15" s="520"/>
      <c r="T15" s="520"/>
      <c r="U15" s="520"/>
      <c r="V15" s="520"/>
      <c r="W15" s="520"/>
      <c r="X15" s="520"/>
      <c r="Y15" s="520"/>
      <c r="Z15" s="520"/>
      <c r="AA15" s="520"/>
      <c r="AB15" s="520"/>
      <c r="AC15" s="520"/>
      <c r="AD15" s="520"/>
      <c r="AE15" s="520"/>
    </row>
    <row r="16" spans="1:31" s="90" customFormat="1" ht="6.75" customHeight="1" x14ac:dyDescent="0.3">
      <c r="A16" s="394"/>
      <c r="B16" s="394"/>
      <c r="C16" s="394"/>
      <c r="D16" s="394"/>
      <c r="E16" s="394"/>
      <c r="F16" s="394"/>
      <c r="G16" s="394"/>
      <c r="H16" s="394"/>
      <c r="I16" s="394"/>
      <c r="J16" s="394"/>
      <c r="K16" s="394"/>
      <c r="L16" s="394"/>
      <c r="M16" s="394"/>
      <c r="N16" s="394"/>
      <c r="O16" s="394"/>
      <c r="P16" s="394"/>
      <c r="Q16" s="394"/>
      <c r="R16" s="394"/>
      <c r="S16" s="394"/>
      <c r="T16" s="394"/>
      <c r="U16" s="394"/>
      <c r="V16" s="394"/>
      <c r="W16" s="394"/>
      <c r="X16" s="394"/>
      <c r="Y16" s="394"/>
      <c r="Z16" s="394"/>
      <c r="AA16" s="394"/>
      <c r="AB16" s="394"/>
      <c r="AC16" s="394"/>
      <c r="AD16" s="394"/>
      <c r="AE16" s="394"/>
    </row>
    <row r="17" spans="1:31" s="96" customFormat="1" ht="16.5" customHeight="1" x14ac:dyDescent="0.3">
      <c r="A17" s="516" t="s">
        <v>321</v>
      </c>
      <c r="B17" s="516"/>
      <c r="C17" s="516"/>
      <c r="D17" s="516"/>
      <c r="E17" s="516"/>
      <c r="F17" s="516"/>
      <c r="G17" s="516"/>
      <c r="H17" s="516"/>
      <c r="I17" s="516"/>
      <c r="J17" s="516"/>
      <c r="K17" s="516"/>
      <c r="L17" s="516"/>
      <c r="M17" s="516"/>
      <c r="N17" s="516"/>
      <c r="O17" s="516"/>
      <c r="P17" s="516"/>
      <c r="Q17" s="516"/>
      <c r="R17" s="516"/>
      <c r="S17" s="516"/>
      <c r="T17" s="516"/>
      <c r="U17" s="516"/>
      <c r="V17" s="516"/>
      <c r="W17" s="516"/>
      <c r="X17" s="516"/>
      <c r="Y17" s="516"/>
      <c r="Z17" s="516"/>
      <c r="AA17" s="516"/>
      <c r="AB17" s="516"/>
      <c r="AC17" s="516"/>
      <c r="AD17" s="516"/>
      <c r="AE17" s="516"/>
    </row>
    <row r="18" spans="1:31" s="96" customFormat="1" ht="15" customHeight="1" x14ac:dyDescent="0.25">
      <c r="A18" s="96" t="s">
        <v>229</v>
      </c>
    </row>
    <row r="19" spans="1:31" s="96" customFormat="1" ht="15" customHeight="1" x14ac:dyDescent="0.25">
      <c r="A19" s="406" t="s">
        <v>425</v>
      </c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406"/>
      <c r="Q19" s="406"/>
      <c r="R19" s="406"/>
      <c r="S19" s="406"/>
      <c r="T19" s="406"/>
      <c r="U19" s="406"/>
      <c r="V19" s="406"/>
      <c r="W19" s="406"/>
      <c r="X19" s="406"/>
      <c r="Y19" s="406"/>
      <c r="Z19" s="406"/>
      <c r="AA19" s="406"/>
      <c r="AB19" s="406"/>
      <c r="AC19" s="406"/>
      <c r="AD19" s="406"/>
      <c r="AE19" s="406"/>
    </row>
    <row r="20" spans="1:31" s="96" customFormat="1" ht="15" customHeight="1" x14ac:dyDescent="0.25">
      <c r="A20" s="406" t="s">
        <v>426</v>
      </c>
      <c r="B20" s="406"/>
      <c r="C20" s="406"/>
      <c r="D20" s="406"/>
      <c r="E20" s="406"/>
      <c r="F20" s="406"/>
      <c r="G20" s="406"/>
      <c r="H20" s="406"/>
      <c r="I20" s="406"/>
      <c r="J20" s="406"/>
      <c r="K20" s="406"/>
      <c r="L20" s="406"/>
      <c r="M20" s="406"/>
      <c r="N20" s="406"/>
      <c r="O20" s="406"/>
      <c r="P20" s="406"/>
      <c r="Q20" s="406"/>
      <c r="R20" s="406"/>
      <c r="S20" s="406"/>
      <c r="T20" s="406"/>
      <c r="U20" s="406"/>
      <c r="V20" s="406"/>
      <c r="W20" s="406"/>
      <c r="X20" s="406"/>
      <c r="Y20" s="406"/>
      <c r="Z20" s="406"/>
      <c r="AA20" s="406"/>
      <c r="AB20" s="406"/>
      <c r="AC20" s="406"/>
      <c r="AD20" s="406"/>
      <c r="AE20" s="406"/>
    </row>
    <row r="21" spans="1:31" s="96" customFormat="1" ht="5.25" customHeight="1" x14ac:dyDescent="0.25"/>
    <row r="22" spans="1:31" s="90" customFormat="1" ht="33.75" customHeight="1" x14ac:dyDescent="0.3">
      <c r="A22" s="497" t="s">
        <v>427</v>
      </c>
      <c r="B22" s="497"/>
      <c r="C22" s="497"/>
      <c r="D22" s="497"/>
      <c r="E22" s="497"/>
      <c r="F22" s="497"/>
      <c r="G22" s="497"/>
      <c r="H22" s="497"/>
      <c r="I22" s="497"/>
      <c r="J22" s="497"/>
      <c r="K22" s="497"/>
      <c r="L22" s="497"/>
      <c r="M22" s="497"/>
      <c r="N22" s="497"/>
      <c r="O22" s="497"/>
      <c r="P22" s="497"/>
      <c r="Q22" s="497"/>
      <c r="R22" s="497"/>
      <c r="S22" s="497"/>
      <c r="T22" s="497"/>
      <c r="U22" s="497"/>
      <c r="V22" s="497"/>
      <c r="W22" s="497"/>
      <c r="X22" s="497"/>
      <c r="Y22" s="497"/>
      <c r="Z22" s="497"/>
      <c r="AA22" s="497"/>
      <c r="AB22" s="497"/>
      <c r="AC22" s="497"/>
      <c r="AD22" s="497"/>
      <c r="AE22" s="497"/>
    </row>
    <row r="23" spans="1:31" s="90" customFormat="1" ht="6.75" customHeight="1" x14ac:dyDescent="0.3">
      <c r="A23" s="394"/>
      <c r="B23" s="394"/>
      <c r="C23" s="394"/>
      <c r="D23" s="394"/>
      <c r="E23" s="394"/>
      <c r="F23" s="394"/>
      <c r="G23" s="394"/>
      <c r="H23" s="394"/>
      <c r="I23" s="394"/>
      <c r="J23" s="394"/>
      <c r="K23" s="394"/>
      <c r="L23" s="394"/>
      <c r="M23" s="394"/>
      <c r="N23" s="394"/>
      <c r="O23" s="394"/>
      <c r="P23" s="394"/>
      <c r="Q23" s="394"/>
      <c r="R23" s="394"/>
      <c r="S23" s="394"/>
      <c r="T23" s="394"/>
      <c r="U23" s="394"/>
      <c r="V23" s="394"/>
      <c r="W23" s="394"/>
      <c r="X23" s="394"/>
      <c r="Y23" s="394"/>
      <c r="Z23" s="394"/>
      <c r="AA23" s="394"/>
      <c r="AB23" s="394"/>
      <c r="AC23" s="394"/>
      <c r="AD23" s="394"/>
      <c r="AE23" s="394"/>
    </row>
    <row r="24" spans="1:31" s="96" customFormat="1" ht="20.25" x14ac:dyDescent="0.35">
      <c r="A24" s="516" t="s">
        <v>322</v>
      </c>
      <c r="B24" s="516"/>
      <c r="C24" s="516"/>
      <c r="D24" s="516"/>
      <c r="E24" s="516"/>
      <c r="F24" s="516"/>
      <c r="G24" s="516"/>
      <c r="H24" s="516"/>
      <c r="I24" s="516"/>
      <c r="J24" s="516"/>
      <c r="K24" s="516"/>
      <c r="L24" s="516"/>
      <c r="M24" s="516"/>
      <c r="N24" s="516"/>
      <c r="O24" s="516"/>
      <c r="P24" s="516"/>
      <c r="Q24" s="516"/>
      <c r="R24" s="516"/>
      <c r="S24" s="516"/>
      <c r="T24" s="516"/>
      <c r="U24" s="516"/>
      <c r="V24" s="516"/>
      <c r="W24" s="516"/>
      <c r="X24" s="516"/>
      <c r="Y24" s="516"/>
      <c r="Z24" s="516"/>
      <c r="AA24" s="516"/>
      <c r="AB24" s="516"/>
      <c r="AC24" s="516"/>
      <c r="AD24" s="516"/>
      <c r="AE24" s="516"/>
    </row>
    <row r="25" spans="1:31" s="96" customFormat="1" ht="15" customHeight="1" x14ac:dyDescent="0.25">
      <c r="A25" s="96" t="s">
        <v>229</v>
      </c>
    </row>
    <row r="26" spans="1:31" s="96" customFormat="1" ht="15" customHeight="1" x14ac:dyDescent="0.25">
      <c r="A26" s="406" t="s">
        <v>428</v>
      </c>
      <c r="B26" s="406"/>
      <c r="C26" s="406"/>
      <c r="D26" s="406"/>
      <c r="E26" s="406"/>
      <c r="F26" s="406"/>
      <c r="G26" s="406"/>
      <c r="H26" s="406"/>
      <c r="I26" s="406"/>
      <c r="J26" s="406"/>
      <c r="K26" s="406"/>
      <c r="L26" s="406"/>
      <c r="M26" s="406"/>
      <c r="N26" s="406"/>
      <c r="O26" s="406"/>
      <c r="P26" s="406"/>
      <c r="Q26" s="406"/>
      <c r="R26" s="406"/>
      <c r="S26" s="406"/>
      <c r="T26" s="406"/>
      <c r="U26" s="406"/>
      <c r="V26" s="406"/>
      <c r="W26" s="406"/>
      <c r="X26" s="406"/>
      <c r="Y26" s="406"/>
      <c r="Z26" s="406"/>
      <c r="AA26" s="406"/>
      <c r="AB26" s="406"/>
      <c r="AC26" s="406"/>
      <c r="AD26" s="406"/>
      <c r="AE26" s="406"/>
    </row>
    <row r="27" spans="1:31" s="96" customFormat="1" ht="15" customHeight="1" x14ac:dyDescent="0.25">
      <c r="A27" s="406" t="s">
        <v>429</v>
      </c>
      <c r="B27" s="406"/>
      <c r="C27" s="406"/>
      <c r="D27" s="406"/>
      <c r="E27" s="406"/>
      <c r="F27" s="406"/>
      <c r="G27" s="406"/>
      <c r="H27" s="406"/>
      <c r="I27" s="406"/>
      <c r="J27" s="406"/>
      <c r="K27" s="406"/>
      <c r="L27" s="406"/>
      <c r="M27" s="406"/>
      <c r="N27" s="406"/>
      <c r="O27" s="406"/>
      <c r="P27" s="406"/>
      <c r="Q27" s="406"/>
      <c r="R27" s="406"/>
      <c r="S27" s="406"/>
      <c r="T27" s="406"/>
      <c r="U27" s="406"/>
      <c r="V27" s="406"/>
      <c r="W27" s="406"/>
      <c r="X27" s="406"/>
      <c r="Y27" s="406"/>
      <c r="Z27" s="406"/>
      <c r="AA27" s="406"/>
      <c r="AB27" s="406"/>
      <c r="AC27" s="406"/>
      <c r="AD27" s="406"/>
      <c r="AE27" s="406"/>
    </row>
    <row r="28" spans="1:31" s="96" customFormat="1" ht="15" customHeight="1" x14ac:dyDescent="0.25">
      <c r="A28" s="406" t="s">
        <v>430</v>
      </c>
      <c r="B28" s="406"/>
      <c r="C28" s="406"/>
      <c r="D28" s="406"/>
      <c r="E28" s="406"/>
      <c r="F28" s="406"/>
      <c r="G28" s="406"/>
      <c r="H28" s="406"/>
      <c r="I28" s="406"/>
      <c r="J28" s="406"/>
      <c r="K28" s="406"/>
      <c r="L28" s="406"/>
      <c r="M28" s="406"/>
      <c r="N28" s="406"/>
      <c r="O28" s="406"/>
      <c r="P28" s="406"/>
      <c r="Q28" s="406"/>
      <c r="R28" s="406"/>
      <c r="S28" s="406"/>
      <c r="T28" s="406"/>
      <c r="U28" s="406"/>
      <c r="V28" s="406"/>
      <c r="W28" s="406"/>
      <c r="X28" s="406"/>
      <c r="Y28" s="406"/>
      <c r="Z28" s="406"/>
      <c r="AA28" s="406"/>
      <c r="AB28" s="406"/>
      <c r="AC28" s="406"/>
      <c r="AD28" s="406"/>
      <c r="AE28" s="406"/>
    </row>
    <row r="29" spans="1:31" s="96" customFormat="1" ht="5.25" customHeight="1" x14ac:dyDescent="0.25"/>
    <row r="30" spans="1:31" s="90" customFormat="1" ht="38.25" customHeight="1" x14ac:dyDescent="0.3">
      <c r="A30" s="519" t="s">
        <v>431</v>
      </c>
      <c r="B30" s="519"/>
      <c r="C30" s="519"/>
      <c r="D30" s="519"/>
      <c r="E30" s="519"/>
      <c r="F30" s="519"/>
      <c r="G30" s="519"/>
      <c r="H30" s="519"/>
      <c r="I30" s="519"/>
      <c r="J30" s="519"/>
      <c r="K30" s="519"/>
      <c r="L30" s="519"/>
      <c r="M30" s="519"/>
      <c r="N30" s="519"/>
      <c r="O30" s="519"/>
      <c r="P30" s="519"/>
      <c r="Q30" s="519"/>
      <c r="R30" s="519"/>
      <c r="S30" s="519"/>
      <c r="T30" s="519"/>
      <c r="U30" s="519"/>
      <c r="V30" s="519"/>
      <c r="W30" s="519"/>
      <c r="X30" s="519"/>
      <c r="Y30" s="519"/>
      <c r="Z30" s="519"/>
      <c r="AA30" s="519"/>
      <c r="AB30" s="519"/>
      <c r="AC30" s="519"/>
      <c r="AD30" s="519"/>
      <c r="AE30" s="519"/>
    </row>
    <row r="31" spans="1:31" s="90" customFormat="1" ht="7.5" customHeight="1" x14ac:dyDescent="0.3">
      <c r="A31" s="395"/>
      <c r="B31" s="395"/>
      <c r="C31" s="395"/>
      <c r="D31" s="395"/>
      <c r="E31" s="395"/>
      <c r="F31" s="395"/>
      <c r="G31" s="395"/>
      <c r="H31" s="395"/>
      <c r="I31" s="395"/>
      <c r="J31" s="395"/>
      <c r="K31" s="395"/>
      <c r="L31" s="395"/>
      <c r="M31" s="395"/>
      <c r="N31" s="395"/>
      <c r="O31" s="395"/>
      <c r="P31" s="395"/>
      <c r="Q31" s="395"/>
      <c r="R31" s="395"/>
      <c r="S31" s="395"/>
      <c r="T31" s="395"/>
      <c r="U31" s="395"/>
      <c r="V31" s="395"/>
      <c r="W31" s="395"/>
      <c r="X31" s="395"/>
      <c r="Y31" s="395"/>
      <c r="Z31" s="395"/>
      <c r="AA31" s="395"/>
      <c r="AB31" s="395"/>
      <c r="AC31" s="395"/>
      <c r="AD31" s="395"/>
      <c r="AE31" s="395"/>
    </row>
    <row r="32" spans="1:31" s="96" customFormat="1" ht="22.5" x14ac:dyDescent="0.35">
      <c r="A32" s="516" t="s">
        <v>323</v>
      </c>
      <c r="B32" s="516"/>
      <c r="C32" s="516"/>
      <c r="D32" s="516"/>
      <c r="E32" s="516"/>
      <c r="F32" s="516"/>
      <c r="G32" s="516"/>
      <c r="H32" s="516"/>
      <c r="I32" s="516"/>
      <c r="J32" s="516"/>
      <c r="K32" s="516"/>
      <c r="L32" s="516"/>
      <c r="M32" s="516"/>
      <c r="N32" s="516"/>
      <c r="O32" s="516"/>
      <c r="P32" s="516"/>
      <c r="Q32" s="516"/>
      <c r="R32" s="516"/>
      <c r="S32" s="516"/>
      <c r="T32" s="516"/>
      <c r="U32" s="516"/>
      <c r="V32" s="516"/>
      <c r="W32" s="516"/>
      <c r="X32" s="516"/>
      <c r="Y32" s="516"/>
      <c r="Z32" s="516"/>
      <c r="AA32" s="516"/>
      <c r="AB32" s="516"/>
      <c r="AC32" s="516"/>
      <c r="AD32" s="516"/>
      <c r="AE32" s="516"/>
    </row>
    <row r="33" spans="1:36" s="96" customFormat="1" ht="11.25" customHeight="1" x14ac:dyDescent="0.3">
      <c r="A33" s="384"/>
      <c r="B33" s="384"/>
      <c r="C33" s="384"/>
      <c r="D33" s="384"/>
      <c r="E33" s="384"/>
      <c r="F33" s="384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  <c r="AC33" s="384"/>
      <c r="AD33" s="384"/>
      <c r="AE33" s="384"/>
    </row>
    <row r="34" spans="1:36" s="90" customFormat="1" ht="43.5" customHeight="1" x14ac:dyDescent="0.3">
      <c r="A34" s="519" t="s">
        <v>432</v>
      </c>
      <c r="B34" s="519"/>
      <c r="C34" s="519"/>
      <c r="D34" s="519"/>
      <c r="E34" s="519"/>
      <c r="F34" s="519"/>
      <c r="G34" s="519"/>
      <c r="H34" s="519"/>
      <c r="I34" s="519"/>
      <c r="J34" s="519"/>
      <c r="K34" s="519"/>
      <c r="L34" s="519"/>
      <c r="M34" s="519"/>
      <c r="N34" s="519"/>
      <c r="O34" s="519"/>
      <c r="P34" s="519"/>
      <c r="Q34" s="519"/>
      <c r="R34" s="519"/>
      <c r="S34" s="519"/>
      <c r="T34" s="519"/>
      <c r="U34" s="519"/>
      <c r="V34" s="519"/>
      <c r="W34" s="519"/>
      <c r="X34" s="519"/>
      <c r="Y34" s="519"/>
      <c r="Z34" s="519"/>
      <c r="AA34" s="519"/>
      <c r="AB34" s="519"/>
      <c r="AC34" s="519"/>
      <c r="AD34" s="519"/>
      <c r="AE34" s="519"/>
      <c r="AF34" s="519"/>
    </row>
    <row r="35" spans="1:36" s="96" customFormat="1" ht="20.25" x14ac:dyDescent="0.35">
      <c r="A35" s="516" t="s">
        <v>324</v>
      </c>
      <c r="B35" s="516"/>
      <c r="C35" s="516"/>
      <c r="D35" s="516"/>
      <c r="E35" s="516"/>
      <c r="F35" s="516"/>
      <c r="G35" s="516"/>
      <c r="H35" s="516"/>
      <c r="I35" s="516"/>
      <c r="J35" s="516"/>
      <c r="K35" s="516"/>
      <c r="L35" s="516"/>
      <c r="M35" s="516"/>
      <c r="N35" s="516"/>
      <c r="O35" s="516"/>
      <c r="P35" s="516"/>
      <c r="Q35" s="516"/>
      <c r="R35" s="516"/>
      <c r="S35" s="516"/>
      <c r="T35" s="516"/>
      <c r="U35" s="516"/>
      <c r="V35" s="516"/>
      <c r="W35" s="516"/>
      <c r="X35" s="516"/>
      <c r="Y35" s="516"/>
      <c r="Z35" s="516"/>
      <c r="AA35" s="516"/>
      <c r="AB35" s="516"/>
      <c r="AC35" s="516"/>
      <c r="AD35" s="516"/>
      <c r="AE35" s="516"/>
    </row>
    <row r="36" spans="1:36" s="96" customFormat="1" ht="15" customHeight="1" x14ac:dyDescent="0.25">
      <c r="A36" s="96" t="s">
        <v>229</v>
      </c>
    </row>
    <row r="37" spans="1:36" s="96" customFormat="1" ht="15" customHeight="1" x14ac:dyDescent="0.25">
      <c r="A37" s="406" t="s">
        <v>433</v>
      </c>
      <c r="B37" s="406"/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6"/>
      <c r="Q37" s="406"/>
      <c r="R37" s="406"/>
      <c r="S37" s="406"/>
      <c r="T37" s="406"/>
      <c r="U37" s="406"/>
      <c r="V37" s="406"/>
      <c r="W37" s="406"/>
      <c r="X37" s="406"/>
      <c r="Y37" s="406"/>
      <c r="Z37" s="406"/>
      <c r="AA37" s="406"/>
      <c r="AB37" s="406"/>
      <c r="AC37" s="406"/>
      <c r="AD37" s="406"/>
      <c r="AE37" s="406"/>
    </row>
    <row r="38" spans="1:36" s="96" customFormat="1" ht="15.75" x14ac:dyDescent="0.25">
      <c r="A38" s="517" t="s">
        <v>434</v>
      </c>
      <c r="B38" s="517"/>
      <c r="C38" s="517"/>
      <c r="D38" s="517"/>
      <c r="E38" s="517"/>
      <c r="F38" s="517"/>
      <c r="G38" s="517"/>
      <c r="H38" s="517"/>
      <c r="I38" s="517"/>
      <c r="J38" s="517"/>
      <c r="K38" s="517"/>
      <c r="L38" s="517"/>
      <c r="M38" s="517"/>
      <c r="N38" s="517"/>
      <c r="O38" s="517"/>
      <c r="P38" s="517"/>
      <c r="Q38" s="517"/>
      <c r="R38" s="517"/>
      <c r="S38" s="517"/>
      <c r="T38" s="517"/>
      <c r="U38" s="517"/>
      <c r="V38" s="517"/>
      <c r="W38" s="517"/>
      <c r="X38" s="517"/>
      <c r="Y38" s="517"/>
      <c r="Z38" s="517"/>
      <c r="AA38" s="517"/>
      <c r="AB38" s="517"/>
      <c r="AC38" s="517"/>
      <c r="AD38" s="517"/>
      <c r="AE38" s="517"/>
    </row>
    <row r="39" spans="1:36" s="96" customFormat="1" ht="9.75" customHeight="1" x14ac:dyDescent="0.25">
      <c r="A39" s="396"/>
      <c r="B39" s="396"/>
      <c r="C39" s="396"/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  <c r="T39" s="396"/>
      <c r="U39" s="396"/>
      <c r="V39" s="396"/>
      <c r="W39" s="396"/>
      <c r="X39" s="396"/>
      <c r="Y39" s="396"/>
      <c r="Z39" s="396"/>
      <c r="AA39" s="396"/>
      <c r="AB39" s="396"/>
      <c r="AC39" s="396"/>
      <c r="AD39" s="396"/>
      <c r="AE39" s="396"/>
    </row>
    <row r="40" spans="1:36" s="398" customFormat="1" ht="20.25" customHeight="1" x14ac:dyDescent="0.25">
      <c r="A40" s="518" t="s">
        <v>435</v>
      </c>
      <c r="B40" s="518"/>
      <c r="C40" s="518"/>
      <c r="D40" s="518"/>
      <c r="E40" s="518"/>
      <c r="F40" s="518"/>
      <c r="G40" s="518"/>
      <c r="H40" s="518"/>
      <c r="I40" s="518"/>
      <c r="J40" s="518"/>
      <c r="K40" s="518"/>
      <c r="L40" s="518"/>
      <c r="M40" s="518"/>
      <c r="N40" s="518"/>
      <c r="O40" s="518"/>
      <c r="P40" s="518"/>
      <c r="Q40" s="518"/>
      <c r="R40" s="518"/>
      <c r="S40" s="518"/>
      <c r="T40" s="518"/>
      <c r="U40" s="518"/>
      <c r="V40" s="518"/>
      <c r="W40" s="518"/>
      <c r="X40" s="518"/>
      <c r="Y40" s="518"/>
      <c r="Z40" s="518"/>
      <c r="AA40" s="518"/>
      <c r="AB40" s="518"/>
      <c r="AC40" s="518"/>
      <c r="AD40" s="518"/>
      <c r="AE40" s="518"/>
      <c r="AF40" s="518"/>
    </row>
    <row r="41" spans="1:36" s="398" customFormat="1" ht="8.25" customHeight="1" x14ac:dyDescent="0.25">
      <c r="A41" s="397"/>
      <c r="B41" s="397"/>
      <c r="C41" s="397"/>
      <c r="D41" s="397"/>
      <c r="E41" s="397"/>
      <c r="F41" s="397"/>
      <c r="G41" s="397"/>
      <c r="H41" s="397"/>
      <c r="I41" s="397"/>
      <c r="J41" s="397"/>
      <c r="K41" s="397"/>
      <c r="L41" s="397"/>
      <c r="M41" s="397"/>
      <c r="N41" s="397"/>
      <c r="O41" s="397"/>
      <c r="P41" s="397"/>
      <c r="Q41" s="397"/>
      <c r="R41" s="397"/>
      <c r="S41" s="397"/>
      <c r="T41" s="397"/>
      <c r="U41" s="397"/>
      <c r="V41" s="397"/>
      <c r="W41" s="397"/>
      <c r="X41" s="397"/>
      <c r="Y41" s="397"/>
      <c r="Z41" s="397"/>
      <c r="AA41" s="397"/>
      <c r="AB41" s="397"/>
      <c r="AC41" s="397"/>
      <c r="AD41" s="397"/>
      <c r="AE41" s="397"/>
      <c r="AF41" s="397"/>
    </row>
    <row r="42" spans="1:36" ht="7.5" customHeight="1" x14ac:dyDescent="0.25">
      <c r="P42"/>
      <c r="Q42"/>
      <c r="R42"/>
    </row>
    <row r="43" spans="1:36" s="132" customFormat="1" ht="15.75" x14ac:dyDescent="0.25">
      <c r="A43" s="410" t="s">
        <v>325</v>
      </c>
      <c r="B43" s="410"/>
      <c r="C43" s="410"/>
      <c r="D43" s="410"/>
      <c r="E43" s="410"/>
      <c r="F43" s="410"/>
      <c r="G43" s="410"/>
      <c r="H43" s="410"/>
      <c r="I43" s="410"/>
      <c r="J43" s="410"/>
      <c r="K43" s="410"/>
      <c r="L43" s="410"/>
      <c r="M43" s="410"/>
      <c r="N43" s="410"/>
      <c r="O43" s="410"/>
      <c r="P43" s="410"/>
      <c r="Q43" s="410"/>
      <c r="R43" s="410"/>
      <c r="S43" s="410"/>
      <c r="T43" s="410"/>
      <c r="U43" s="410"/>
      <c r="V43" s="410"/>
      <c r="W43" s="410"/>
      <c r="X43" s="410"/>
      <c r="Y43" s="410"/>
      <c r="Z43" s="410"/>
      <c r="AA43" s="410"/>
      <c r="AB43" s="410"/>
      <c r="AC43" s="410"/>
      <c r="AD43" s="410"/>
      <c r="AE43" s="410"/>
      <c r="AF43" s="410"/>
      <c r="AG43" s="64"/>
      <c r="AH43" s="64"/>
    </row>
    <row r="44" spans="1:36" s="96" customFormat="1" x14ac:dyDescent="0.25">
      <c r="A44" s="538" t="s">
        <v>311</v>
      </c>
      <c r="B44" s="538" t="s">
        <v>143</v>
      </c>
      <c r="C44" s="541" t="s">
        <v>144</v>
      </c>
      <c r="D44" s="541" t="s">
        <v>145</v>
      </c>
      <c r="E44" s="544" t="s">
        <v>146</v>
      </c>
      <c r="F44" s="544" t="s">
        <v>147</v>
      </c>
      <c r="G44" s="545" t="s">
        <v>148</v>
      </c>
      <c r="H44" s="541" t="s">
        <v>149</v>
      </c>
      <c r="I44" s="545" t="s">
        <v>150</v>
      </c>
      <c r="J44" s="541" t="s">
        <v>151</v>
      </c>
      <c r="K44" s="545" t="s">
        <v>152</v>
      </c>
      <c r="L44" s="545" t="s">
        <v>153</v>
      </c>
      <c r="M44" s="545"/>
      <c r="N44" s="541" t="s">
        <v>154</v>
      </c>
      <c r="O44" s="546" t="s">
        <v>155</v>
      </c>
      <c r="P44" s="549" t="s">
        <v>156</v>
      </c>
      <c r="Q44" s="550"/>
      <c r="R44" s="551"/>
      <c r="S44" s="541" t="s">
        <v>157</v>
      </c>
      <c r="T44" s="544" t="s">
        <v>158</v>
      </c>
      <c r="U44" s="544"/>
      <c r="V44" s="544"/>
      <c r="W44" s="544" t="s">
        <v>159</v>
      </c>
      <c r="X44" s="544"/>
      <c r="Y44" s="544"/>
      <c r="Z44" s="544" t="s">
        <v>160</v>
      </c>
      <c r="AA44" s="544"/>
      <c r="AB44" s="544"/>
      <c r="AC44" s="564" t="s">
        <v>65</v>
      </c>
      <c r="AD44" s="555" t="s">
        <v>14</v>
      </c>
      <c r="AE44" s="558" t="s">
        <v>107</v>
      </c>
      <c r="AF44" s="561" t="s">
        <v>108</v>
      </c>
      <c r="AG44" s="136"/>
      <c r="AH44" s="136"/>
    </row>
    <row r="45" spans="1:36" s="96" customFormat="1" x14ac:dyDescent="0.25">
      <c r="A45" s="539"/>
      <c r="B45" s="539"/>
      <c r="C45" s="542"/>
      <c r="D45" s="542"/>
      <c r="E45" s="544"/>
      <c r="F45" s="544"/>
      <c r="G45" s="545"/>
      <c r="H45" s="542"/>
      <c r="I45" s="545"/>
      <c r="J45" s="542"/>
      <c r="K45" s="545"/>
      <c r="L45" s="545"/>
      <c r="M45" s="545"/>
      <c r="N45" s="542"/>
      <c r="O45" s="547"/>
      <c r="P45" s="552"/>
      <c r="Q45" s="553"/>
      <c r="R45" s="554"/>
      <c r="S45" s="542"/>
      <c r="T45" s="544"/>
      <c r="U45" s="544"/>
      <c r="V45" s="544"/>
      <c r="W45" s="544"/>
      <c r="X45" s="544"/>
      <c r="Y45" s="544"/>
      <c r="Z45" s="544"/>
      <c r="AA45" s="544"/>
      <c r="AB45" s="544"/>
      <c r="AC45" s="565"/>
      <c r="AD45" s="556"/>
      <c r="AE45" s="559"/>
      <c r="AF45" s="562"/>
      <c r="AG45" s="136"/>
      <c r="AH45" s="136"/>
    </row>
    <row r="46" spans="1:36" s="96" customFormat="1" ht="26.25" customHeight="1" x14ac:dyDescent="0.25">
      <c r="A46" s="540"/>
      <c r="B46" s="540"/>
      <c r="C46" s="543"/>
      <c r="D46" s="543"/>
      <c r="E46" s="544"/>
      <c r="F46" s="544"/>
      <c r="G46" s="545"/>
      <c r="H46" s="543"/>
      <c r="I46" s="545"/>
      <c r="J46" s="543"/>
      <c r="K46" s="545"/>
      <c r="L46" s="134" t="s">
        <v>161</v>
      </c>
      <c r="M46" s="134" t="s">
        <v>162</v>
      </c>
      <c r="N46" s="543"/>
      <c r="O46" s="548"/>
      <c r="P46" s="134" t="s">
        <v>161</v>
      </c>
      <c r="Q46" s="134" t="s">
        <v>163</v>
      </c>
      <c r="R46" s="134" t="s">
        <v>162</v>
      </c>
      <c r="S46" s="543"/>
      <c r="T46" s="135" t="s">
        <v>161</v>
      </c>
      <c r="U46" s="135" t="s">
        <v>163</v>
      </c>
      <c r="V46" s="135" t="s">
        <v>162</v>
      </c>
      <c r="W46" s="135" t="s">
        <v>161</v>
      </c>
      <c r="X46" s="135" t="s">
        <v>163</v>
      </c>
      <c r="Y46" s="135" t="s">
        <v>162</v>
      </c>
      <c r="Z46" s="135" t="s">
        <v>161</v>
      </c>
      <c r="AA46" s="135" t="s">
        <v>163</v>
      </c>
      <c r="AB46" s="135" t="s">
        <v>162</v>
      </c>
      <c r="AC46" s="566"/>
      <c r="AD46" s="557"/>
      <c r="AE46" s="560"/>
      <c r="AF46" s="563"/>
      <c r="AG46" s="136"/>
      <c r="AH46" s="136"/>
    </row>
    <row r="47" spans="1:36" ht="14.1" customHeight="1" x14ac:dyDescent="0.25">
      <c r="A47" s="30">
        <v>1</v>
      </c>
      <c r="B47" s="30">
        <v>2</v>
      </c>
      <c r="C47" s="30">
        <v>3</v>
      </c>
      <c r="D47" s="30">
        <v>4</v>
      </c>
      <c r="E47" s="30">
        <v>5</v>
      </c>
      <c r="F47" s="30">
        <v>6</v>
      </c>
      <c r="G47" s="30">
        <v>7</v>
      </c>
      <c r="H47" s="30">
        <v>8</v>
      </c>
      <c r="I47" s="30">
        <v>9</v>
      </c>
      <c r="J47" s="30">
        <v>10</v>
      </c>
      <c r="K47" s="30">
        <v>11</v>
      </c>
      <c r="L47" s="30">
        <v>12</v>
      </c>
      <c r="M47" s="30">
        <v>13</v>
      </c>
      <c r="N47" s="30">
        <v>14</v>
      </c>
      <c r="O47" s="30">
        <v>15</v>
      </c>
      <c r="P47" s="30">
        <v>16</v>
      </c>
      <c r="Q47" s="30">
        <v>17</v>
      </c>
      <c r="R47" s="30">
        <v>18</v>
      </c>
      <c r="S47" s="30">
        <v>19</v>
      </c>
      <c r="T47" s="30">
        <v>20</v>
      </c>
      <c r="U47" s="30">
        <v>21</v>
      </c>
      <c r="V47" s="30">
        <v>22</v>
      </c>
      <c r="W47" s="30">
        <v>23</v>
      </c>
      <c r="X47" s="30">
        <v>24</v>
      </c>
      <c r="Y47" s="30">
        <v>25</v>
      </c>
      <c r="Z47" s="30">
        <v>26</v>
      </c>
      <c r="AA47" s="30">
        <v>27</v>
      </c>
      <c r="AB47" s="30">
        <v>28</v>
      </c>
      <c r="AC47" s="30">
        <v>26</v>
      </c>
      <c r="AD47" s="30">
        <v>27</v>
      </c>
      <c r="AE47" s="30">
        <v>28</v>
      </c>
      <c r="AF47" s="30">
        <v>29</v>
      </c>
      <c r="AG47" s="50"/>
      <c r="AH47" s="50"/>
      <c r="AI47" s="1"/>
      <c r="AJ47" s="1"/>
    </row>
    <row r="48" spans="1:36" ht="12.95" customHeight="1" x14ac:dyDescent="0.25">
      <c r="A48" s="522" t="s">
        <v>208</v>
      </c>
      <c r="B48" s="523"/>
      <c r="C48" s="523"/>
      <c r="D48" s="523"/>
      <c r="E48" s="523"/>
      <c r="F48" s="523"/>
      <c r="G48" s="523"/>
      <c r="H48" s="523"/>
      <c r="I48" s="523"/>
      <c r="J48" s="523"/>
      <c r="K48" s="523"/>
      <c r="L48" s="523"/>
      <c r="M48" s="523"/>
      <c r="N48" s="523"/>
      <c r="O48" s="523"/>
      <c r="P48" s="523"/>
      <c r="Q48" s="523"/>
      <c r="R48" s="523"/>
      <c r="S48" s="523"/>
      <c r="T48" s="523"/>
      <c r="U48" s="523"/>
      <c r="V48" s="523"/>
      <c r="W48" s="523"/>
      <c r="X48" s="523"/>
      <c r="Y48" s="523"/>
      <c r="Z48" s="523"/>
      <c r="AA48" s="523"/>
      <c r="AB48" s="523"/>
      <c r="AC48" s="523"/>
      <c r="AD48" s="523"/>
      <c r="AE48" s="523"/>
      <c r="AF48" s="524"/>
      <c r="AG48" s="137"/>
      <c r="AH48" s="137"/>
      <c r="AI48" s="1"/>
      <c r="AJ48" s="1"/>
    </row>
    <row r="49" spans="1:36" ht="12.95" customHeight="1" x14ac:dyDescent="0.25">
      <c r="A49" s="525" t="s">
        <v>17</v>
      </c>
      <c r="B49" s="526"/>
      <c r="C49" s="526"/>
      <c r="D49" s="526"/>
      <c r="E49" s="526"/>
      <c r="F49" s="526"/>
      <c r="G49" s="526"/>
      <c r="H49" s="526"/>
      <c r="I49" s="526"/>
      <c r="J49" s="526"/>
      <c r="K49" s="526"/>
      <c r="L49" s="526"/>
      <c r="M49" s="526"/>
      <c r="N49" s="526"/>
      <c r="O49" s="526"/>
      <c r="P49" s="526"/>
      <c r="Q49" s="526"/>
      <c r="R49" s="526"/>
      <c r="S49" s="526"/>
      <c r="T49" s="526"/>
      <c r="U49" s="526"/>
      <c r="V49" s="526"/>
      <c r="W49" s="526"/>
      <c r="X49" s="526"/>
      <c r="Y49" s="526"/>
      <c r="Z49" s="526"/>
      <c r="AA49" s="526"/>
      <c r="AB49" s="526"/>
      <c r="AC49" s="526"/>
      <c r="AD49" s="526"/>
      <c r="AE49" s="526"/>
      <c r="AF49" s="527"/>
      <c r="AG49" s="138"/>
      <c r="AH49" s="138"/>
      <c r="AI49" s="1"/>
      <c r="AJ49" s="1"/>
    </row>
    <row r="50" spans="1:36" ht="12.95" customHeight="1" x14ac:dyDescent="0.25">
      <c r="A50" s="21">
        <v>9005</v>
      </c>
      <c r="B50" s="31" t="s">
        <v>164</v>
      </c>
      <c r="C50" s="32">
        <v>4</v>
      </c>
      <c r="D50" s="32" t="s">
        <v>165</v>
      </c>
      <c r="E50" s="32">
        <v>1</v>
      </c>
      <c r="F50" s="32">
        <v>1</v>
      </c>
      <c r="G50" s="32">
        <v>6</v>
      </c>
      <c r="H50" s="32">
        <v>60</v>
      </c>
      <c r="I50" s="32">
        <f>(8-1-0.75*2)*60*F50-K50-8*0.12*60</f>
        <v>57.900000000000006</v>
      </c>
      <c r="J50" s="32">
        <v>14</v>
      </c>
      <c r="K50" s="32">
        <f>(8-1-0.75*2)*0.65*60*F50</f>
        <v>214.5</v>
      </c>
      <c r="L50" s="32">
        <v>2.4700000000000002</v>
      </c>
      <c r="M50" s="32">
        <v>2.4700000000000002</v>
      </c>
      <c r="N50" s="32">
        <v>10</v>
      </c>
      <c r="O50" s="32">
        <f>E50/F50</f>
        <v>1</v>
      </c>
      <c r="P50" s="32">
        <v>0</v>
      </c>
      <c r="Q50" s="32">
        <v>60</v>
      </c>
      <c r="R50" s="42">
        <v>60</v>
      </c>
      <c r="S50" s="32">
        <v>0.48</v>
      </c>
      <c r="T50" s="33">
        <f>ROUND((L50*I50+1.3*L50*K50+S50*H50),4)</f>
        <v>860.57249999999999</v>
      </c>
      <c r="U50" s="33">
        <f>ROUND((M50*I50+1.3*M50*K50+S50*H50),4)</f>
        <v>860.57249999999999</v>
      </c>
      <c r="V50" s="33">
        <f>ROUND((M50*I50+1.3*M50*K50+S50*H50),4)</f>
        <v>860.57249999999999</v>
      </c>
      <c r="W50" s="33">
        <f>ROUND((L50*J50+1.3*L50*N50+S50*G50),4)</f>
        <v>69.569999999999993</v>
      </c>
      <c r="X50" s="33">
        <f>ROUND((M50*J50+1.3*M50*N50+S50*G50),4)</f>
        <v>69.569999999999993</v>
      </c>
      <c r="Y50" s="33">
        <f>ROUND((M50*J50+1.3*M50*N50+S50*G50),4)</f>
        <v>69.569999999999993</v>
      </c>
      <c r="Z50" s="43">
        <f>ROUND((P50*T50*F50*O50/1000000),4)</f>
        <v>0</v>
      </c>
      <c r="AA50" s="43">
        <f>ROUND((Q50*U50*F50*O50/1000000),4)</f>
        <v>5.16E-2</v>
      </c>
      <c r="AB50" s="43">
        <f>ROUND((R50*V50*F50*O50/1000000),4)</f>
        <v>5.16E-2</v>
      </c>
      <c r="AC50" s="44" t="s">
        <v>111</v>
      </c>
      <c r="AD50" s="45" t="s">
        <v>95</v>
      </c>
      <c r="AE50" s="30">
        <f>ROUND((((X50*E50)/1800)*0.8),4)</f>
        <v>3.09E-2</v>
      </c>
      <c r="AF50" s="30">
        <f>ROUND(((Z50+AA50+AB50)*0.8),4)</f>
        <v>8.2600000000000007E-2</v>
      </c>
      <c r="AG50" s="50"/>
      <c r="AH50" s="50"/>
      <c r="AJ50" s="1"/>
    </row>
    <row r="51" spans="1:36" ht="12.95" customHeight="1" x14ac:dyDescent="0.25">
      <c r="A51" s="22"/>
      <c r="B51" s="35" t="s">
        <v>166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51"/>
      <c r="T51" s="47"/>
      <c r="U51" s="47"/>
      <c r="V51" s="47"/>
      <c r="W51" s="47"/>
      <c r="X51" s="47"/>
      <c r="Y51" s="47"/>
      <c r="Z51" s="47"/>
      <c r="AA51" s="47"/>
      <c r="AB51" s="47"/>
      <c r="AC51" s="44" t="s">
        <v>112</v>
      </c>
      <c r="AD51" s="45" t="s">
        <v>113</v>
      </c>
      <c r="AE51" s="30">
        <f>ROUND((((X50*E50)/1800)*0.13),4)</f>
        <v>5.0000000000000001E-3</v>
      </c>
      <c r="AF51" s="30">
        <f>ROUND(((Z50+AA50+AB50)*0.13),4)</f>
        <v>1.34E-2</v>
      </c>
      <c r="AG51" s="50"/>
      <c r="AH51" s="50"/>
      <c r="AJ51" s="1"/>
    </row>
    <row r="52" spans="1:36" ht="12.95" customHeight="1" x14ac:dyDescent="0.25">
      <c r="A52" s="22"/>
      <c r="B52" s="35"/>
      <c r="C52" s="39"/>
      <c r="D52" s="39"/>
      <c r="E52" s="36"/>
      <c r="F52" s="36"/>
      <c r="G52" s="36"/>
      <c r="H52" s="36"/>
      <c r="I52" s="36"/>
      <c r="J52" s="36"/>
      <c r="K52" s="36"/>
      <c r="L52" s="36">
        <v>0.19</v>
      </c>
      <c r="M52" s="36">
        <v>0.23</v>
      </c>
      <c r="N52" s="36"/>
      <c r="O52" s="36"/>
      <c r="P52" s="36"/>
      <c r="Q52" s="36"/>
      <c r="R52" s="36"/>
      <c r="S52" s="52">
        <v>9.7000000000000003E-2</v>
      </c>
      <c r="T52" s="33">
        <f>ROUND((L52*I50+1.3*L52*K50+S52*H50),4)</f>
        <v>69.802499999999995</v>
      </c>
      <c r="U52" s="33">
        <f>ROUND((M52*0.9*I50+1.3*M52*0.9*K50+S52*H50),4)</f>
        <v>75.527299999999997</v>
      </c>
      <c r="V52" s="33">
        <f>ROUND((M52*I50+1.3*M52*K50+S52*H50),4)</f>
        <v>83.272499999999994</v>
      </c>
      <c r="W52" s="33">
        <f>ROUND((L52*J50+1.3*L52*N50+S52*G50),4)</f>
        <v>5.7119999999999997</v>
      </c>
      <c r="X52" s="33">
        <f>ROUND((M52*0.9*J50+1.3*M52*0.9*N50+S52*G50),4)</f>
        <v>6.1710000000000003</v>
      </c>
      <c r="Y52" s="33">
        <f>ROUND((M52*J50+1.3*M52*N50+S52*G50),4)</f>
        <v>6.7919999999999998</v>
      </c>
      <c r="Z52" s="43">
        <f>ROUND((P50*T52*F50*O50/1000000),4)</f>
        <v>0</v>
      </c>
      <c r="AA52" s="43">
        <f>ROUND((Q50*U52*F50*O50/1000000),4)</f>
        <v>4.4999999999999997E-3</v>
      </c>
      <c r="AB52" s="43">
        <f>ROUND((R50*V52*F50*O50/1000000),4)</f>
        <v>5.0000000000000001E-3</v>
      </c>
      <c r="AC52" s="44" t="s">
        <v>167</v>
      </c>
      <c r="AD52" s="45" t="s">
        <v>115</v>
      </c>
      <c r="AE52" s="30">
        <f>ROUND((((X52*E50)/1800)),4)</f>
        <v>3.3999999999999998E-3</v>
      </c>
      <c r="AF52" s="30">
        <f>ROUND(((Z52+AA52+AB52)),5)</f>
        <v>9.4999999999999998E-3</v>
      </c>
      <c r="AG52" s="50"/>
      <c r="AH52" s="50"/>
      <c r="AJ52" s="1"/>
    </row>
    <row r="53" spans="1:36" ht="12.95" customHeight="1" x14ac:dyDescent="0.25">
      <c r="A53" s="22"/>
      <c r="B53" s="53"/>
      <c r="C53" s="36"/>
      <c r="D53" s="36"/>
      <c r="E53" s="36"/>
      <c r="F53" s="36"/>
      <c r="G53" s="36"/>
      <c r="H53" s="36"/>
      <c r="I53" s="36"/>
      <c r="J53" s="36"/>
      <c r="K53" s="36"/>
      <c r="L53" s="36">
        <v>0.43</v>
      </c>
      <c r="M53" s="36">
        <v>0.51</v>
      </c>
      <c r="N53" s="36"/>
      <c r="O53" s="36"/>
      <c r="P53" s="36"/>
      <c r="Q53" s="36"/>
      <c r="R53" s="36"/>
      <c r="S53" s="52">
        <v>0.3</v>
      </c>
      <c r="T53" s="33">
        <f>ROUND((L53*I50+1.3*L53*K50+S53*H50),4)</f>
        <v>162.80250000000001</v>
      </c>
      <c r="U53" s="33">
        <f>ROUND((M53*0.9*I50+1.3*M53*0.9*K50+S53*H50),4)</f>
        <v>172.56829999999999</v>
      </c>
      <c r="V53" s="33">
        <f>ROUND((M53*I50+1.3*M53*K50+S53*H50),4)</f>
        <v>189.74250000000001</v>
      </c>
      <c r="W53" s="33">
        <f>ROUND((L53*J50+1.3*L53*N50+S53*G50),4)</f>
        <v>13.41</v>
      </c>
      <c r="X53" s="33">
        <f>ROUND((M53*0.9*J50+1.3*M53*0.9*N50+S53*G50),4)</f>
        <v>14.193</v>
      </c>
      <c r="Y53" s="33">
        <f>ROUND((M53*J50+1.3*N50+S53*G50),4)</f>
        <v>21.94</v>
      </c>
      <c r="Z53" s="43">
        <f>ROUND((P50*T53*F50*O50/1000000),4)</f>
        <v>0</v>
      </c>
      <c r="AA53" s="43">
        <f>ROUND((Q50*U53*F50*O50/1000000),4)</f>
        <v>1.04E-2</v>
      </c>
      <c r="AB53" s="43">
        <f>ROUND((R50*V53*F50*O50/1000000),4)</f>
        <v>1.14E-2</v>
      </c>
      <c r="AC53" s="44" t="s">
        <v>168</v>
      </c>
      <c r="AD53" s="45" t="s">
        <v>169</v>
      </c>
      <c r="AE53" s="30">
        <f>ROUND((((X53*E50)/1800)),4)</f>
        <v>7.9000000000000008E-3</v>
      </c>
      <c r="AF53" s="30">
        <f>ROUND(((Z53+AA53+AB53)),4)</f>
        <v>2.18E-2</v>
      </c>
      <c r="AG53" s="50"/>
      <c r="AH53" s="50"/>
      <c r="AJ53" s="1"/>
    </row>
    <row r="54" spans="1:36" ht="12.95" customHeight="1" x14ac:dyDescent="0.25">
      <c r="A54" s="22"/>
      <c r="B54" s="35"/>
      <c r="C54" s="36"/>
      <c r="D54" s="36"/>
      <c r="E54" s="36"/>
      <c r="F54" s="36"/>
      <c r="G54" s="36"/>
      <c r="H54" s="36"/>
      <c r="I54" s="36"/>
      <c r="J54" s="36"/>
      <c r="K54" s="36"/>
      <c r="L54" s="36">
        <v>0.27</v>
      </c>
      <c r="M54" s="36">
        <v>0.41</v>
      </c>
      <c r="N54" s="36"/>
      <c r="O54" s="36"/>
      <c r="P54" s="36"/>
      <c r="Q54" s="36"/>
      <c r="R54" s="36"/>
      <c r="S54" s="52">
        <v>0.06</v>
      </c>
      <c r="T54" s="33">
        <f>ROUND((L54*I50+1.3*L54*K50+S54*H50),4)</f>
        <v>94.522499999999994</v>
      </c>
      <c r="U54" s="33">
        <f>ROUND((M54*0.9*I50+1.3*M54*0.9*K50+S54*H50),4)</f>
        <v>127.8608</v>
      </c>
      <c r="V54" s="33">
        <f>ROUND((M54*I50+1.3*M54*K50+S54*H50),4)</f>
        <v>141.66749999999999</v>
      </c>
      <c r="W54" s="33">
        <f>ROUND((L54*J50+1.3*L54*N50+S54*G50),4)</f>
        <v>7.65</v>
      </c>
      <c r="X54" s="33">
        <f>ROUND((M54*0.9*J50+1.3*M54*0.9*N50+S54*G50),4)</f>
        <v>10.323</v>
      </c>
      <c r="Y54" s="33">
        <f>ROUND((M54*J50+1.3*M54*N50+S54*G50),4)</f>
        <v>11.43</v>
      </c>
      <c r="Z54" s="43">
        <f>ROUND((P50*T54*F50*O50/1000000),4)</f>
        <v>0</v>
      </c>
      <c r="AA54" s="43">
        <f>ROUND((Q50*U54*F50*O50/1000000),4)</f>
        <v>7.7000000000000002E-3</v>
      </c>
      <c r="AB54" s="43">
        <f>ROUND((R50*V54*F50*O50/1000000),4)</f>
        <v>8.5000000000000006E-3</v>
      </c>
      <c r="AC54" s="44" t="s">
        <v>170</v>
      </c>
      <c r="AD54" s="45" t="s">
        <v>119</v>
      </c>
      <c r="AE54" s="30">
        <f>ROUND((((X54*E50)/1800)),4)</f>
        <v>5.7000000000000002E-3</v>
      </c>
      <c r="AF54" s="30">
        <f>ROUND(((Z54+AA54+AB54)),4)</f>
        <v>1.6199999999999999E-2</v>
      </c>
      <c r="AG54" s="50"/>
      <c r="AH54" s="50"/>
      <c r="AJ54" s="1"/>
    </row>
    <row r="55" spans="1:36" ht="12.95" customHeight="1" x14ac:dyDescent="0.25">
      <c r="A55" s="22"/>
      <c r="B55" s="35"/>
      <c r="C55" s="37"/>
      <c r="D55" s="37"/>
      <c r="E55" s="37"/>
      <c r="F55" s="37"/>
      <c r="G55" s="37"/>
      <c r="H55" s="37"/>
      <c r="I55" s="37"/>
      <c r="J55" s="37"/>
      <c r="K55" s="37"/>
      <c r="L55" s="37">
        <v>1.29</v>
      </c>
      <c r="M55" s="37">
        <v>1.57</v>
      </c>
      <c r="N55" s="37"/>
      <c r="O55" s="37"/>
      <c r="P55" s="37"/>
      <c r="Q55" s="37"/>
      <c r="R55" s="37"/>
      <c r="S55" s="52">
        <v>2.4</v>
      </c>
      <c r="T55" s="54">
        <f>ROUND((L55*I50+1.3*L55*K50+S55*H50),4)</f>
        <v>578.40750000000003</v>
      </c>
      <c r="U55" s="54">
        <f>ROUND((M55*0.9*I50+1.3*M55*0.9*K50+S55*H50),4)</f>
        <v>619.82780000000002</v>
      </c>
      <c r="V55" s="54">
        <f>ROUND((M55*I50+1.3*M55*K50+S55*H50),4)</f>
        <v>672.69749999999999</v>
      </c>
      <c r="W55" s="54">
        <f>ROUND((L55*J50+1.3*L55*N50+S55*G50),4)</f>
        <v>49.23</v>
      </c>
      <c r="X55" s="54">
        <f>ROUND((M55*0.9*J50+1.3*M55*0.9*N50+S55*G50),4)</f>
        <v>52.551000000000002</v>
      </c>
      <c r="Y55" s="54">
        <f>ROUND((M55*J50+1.3*M55*N50+S55*G50),4)</f>
        <v>56.79</v>
      </c>
      <c r="Z55" s="55">
        <f>ROUND((P50*T55*F50*O50/1000000),4)</f>
        <v>0</v>
      </c>
      <c r="AA55" s="55">
        <f>ROUND((Q50*U55*F50*O50/1000000),4)</f>
        <v>3.7199999999999997E-2</v>
      </c>
      <c r="AB55" s="55">
        <f>ROUND((R50*V55*F50*O50/1000000),4)</f>
        <v>4.0399999999999998E-2</v>
      </c>
      <c r="AC55" s="44" t="s">
        <v>171</v>
      </c>
      <c r="AD55" s="45" t="s">
        <v>104</v>
      </c>
      <c r="AE55" s="30">
        <f>ROUND((((X55*E50)/1800)),4)</f>
        <v>2.92E-2</v>
      </c>
      <c r="AF55" s="30">
        <f>ROUND(((Z55+AA55+AB55)),4)</f>
        <v>7.7600000000000002E-2</v>
      </c>
      <c r="AG55" s="50"/>
      <c r="AH55" s="50"/>
      <c r="AJ55" s="1"/>
    </row>
    <row r="56" spans="1:36" ht="12.95" customHeight="1" x14ac:dyDescent="0.25">
      <c r="A56" s="23"/>
      <c r="B56" s="31" t="s">
        <v>172</v>
      </c>
      <c r="C56" s="31">
        <v>5</v>
      </c>
      <c r="D56" s="32" t="s">
        <v>173</v>
      </c>
      <c r="E56" s="32">
        <v>1</v>
      </c>
      <c r="F56" s="32">
        <v>1</v>
      </c>
      <c r="G56" s="32">
        <v>6</v>
      </c>
      <c r="H56" s="32">
        <v>60</v>
      </c>
      <c r="I56" s="32">
        <f>(8-1-0.75*2)*60*F56-K56-8*0.12*60</f>
        <v>57.900000000000006</v>
      </c>
      <c r="J56" s="32">
        <v>14</v>
      </c>
      <c r="K56" s="32">
        <f>(8-1-0.75*2)*0.65*60*F56</f>
        <v>214.5</v>
      </c>
      <c r="L56" s="33">
        <v>4.01</v>
      </c>
      <c r="M56" s="33">
        <v>4.01</v>
      </c>
      <c r="N56" s="32">
        <v>10</v>
      </c>
      <c r="O56" s="32">
        <f>E56/F56</f>
        <v>1</v>
      </c>
      <c r="P56" s="32">
        <v>0</v>
      </c>
      <c r="Q56" s="32">
        <v>60</v>
      </c>
      <c r="R56" s="42">
        <v>60</v>
      </c>
      <c r="S56" s="42">
        <v>0.78</v>
      </c>
      <c r="T56" s="33">
        <f>ROUND((L56*I56+1.3*L56*K56+S56*H56),4)</f>
        <v>1397.1675</v>
      </c>
      <c r="U56" s="33">
        <f>ROUND((M56*I56+1.3*M56*K56+S56*H56),4)</f>
        <v>1397.1675</v>
      </c>
      <c r="V56" s="33">
        <f>ROUND((M56*I56+1.3*M56*K56+S56*H56),4)</f>
        <v>1397.1675</v>
      </c>
      <c r="W56" s="33">
        <f>ROUND((L56*J56+1.3*L56*N56+S56*G56),4)</f>
        <v>112.95</v>
      </c>
      <c r="X56" s="33">
        <f>ROUND((M56*J56+1.3*M56*N56+S56*G56),4)</f>
        <v>112.95</v>
      </c>
      <c r="Y56" s="33">
        <f>ROUND((M56*J56+1.3*M56*N56+S56*G56),4)</f>
        <v>112.95</v>
      </c>
      <c r="Z56" s="43">
        <f>ROUND((P56*T56*F56*O56/1000000),4)</f>
        <v>0</v>
      </c>
      <c r="AA56" s="43">
        <f>ROUND((Q56*U56*F56*O56/1000000),4)</f>
        <v>8.3799999999999999E-2</v>
      </c>
      <c r="AB56" s="43">
        <f>ROUND((R56*V56*F56*O56/1000000),4)</f>
        <v>8.3799999999999999E-2</v>
      </c>
      <c r="AC56" s="44" t="s">
        <v>111</v>
      </c>
      <c r="AD56" s="45" t="s">
        <v>95</v>
      </c>
      <c r="AE56" s="30">
        <f>ROUND((((X56*E56)/1800)*0.8),4)</f>
        <v>5.0200000000000002E-2</v>
      </c>
      <c r="AF56" s="30">
        <f>ROUND(((Z56+AA56+AB56)*0.8),4)</f>
        <v>0.1341</v>
      </c>
      <c r="AG56" s="50"/>
      <c r="AH56" s="50"/>
      <c r="AJ56" s="1"/>
    </row>
    <row r="57" spans="1:36" ht="12.95" customHeight="1" x14ac:dyDescent="0.25">
      <c r="A57" s="23"/>
      <c r="B57" s="34" t="s">
        <v>174</v>
      </c>
      <c r="C57" s="35"/>
      <c r="D57" s="36"/>
      <c r="E57" s="36"/>
      <c r="F57" s="36"/>
      <c r="G57" s="36"/>
      <c r="H57" s="36"/>
      <c r="I57" s="36"/>
      <c r="J57" s="36"/>
      <c r="K57" s="36"/>
      <c r="L57" s="37"/>
      <c r="M57" s="37"/>
      <c r="N57" s="36"/>
      <c r="O57" s="36"/>
      <c r="P57" s="36"/>
      <c r="Q57" s="36"/>
      <c r="R57" s="36"/>
      <c r="S57" s="46"/>
      <c r="T57" s="47"/>
      <c r="U57" s="47"/>
      <c r="V57" s="47"/>
      <c r="W57" s="47"/>
      <c r="X57" s="47"/>
      <c r="Y57" s="47"/>
      <c r="Z57" s="47"/>
      <c r="AA57" s="47"/>
      <c r="AB57" s="47"/>
      <c r="AC57" s="44" t="s">
        <v>112</v>
      </c>
      <c r="AD57" s="45" t="s">
        <v>113</v>
      </c>
      <c r="AE57" s="30">
        <f>ROUND((((X56*E56)/1800)*0.13),4)</f>
        <v>8.2000000000000007E-3</v>
      </c>
      <c r="AF57" s="30">
        <f>ROUND(((Z56+AA56+AB56)*0.13),4)</f>
        <v>2.18E-2</v>
      </c>
      <c r="AG57" s="50"/>
      <c r="AH57" s="50"/>
      <c r="AJ57" s="1"/>
    </row>
    <row r="58" spans="1:36" ht="12.95" customHeight="1" x14ac:dyDescent="0.25">
      <c r="A58" s="23"/>
      <c r="B58" s="35"/>
      <c r="C58" s="38"/>
      <c r="D58" s="39"/>
      <c r="E58" s="36"/>
      <c r="F58" s="36"/>
      <c r="G58" s="36"/>
      <c r="H58" s="36"/>
      <c r="I58" s="36"/>
      <c r="J58" s="36"/>
      <c r="K58" s="36"/>
      <c r="L58" s="40">
        <v>0.31</v>
      </c>
      <c r="M58" s="40">
        <v>0.38</v>
      </c>
      <c r="N58" s="36"/>
      <c r="O58" s="36"/>
      <c r="P58" s="36"/>
      <c r="Q58" s="36"/>
      <c r="R58" s="36"/>
      <c r="S58" s="48">
        <v>0.16</v>
      </c>
      <c r="T58" s="33">
        <f>ROUND((L58*I56+1.3*L58*K56+S58*H56),4)</f>
        <v>113.99250000000001</v>
      </c>
      <c r="U58" s="33">
        <f>ROUND((M58*0.9*I56+1.3*M58*0.9*K56+S58*H56),4)</f>
        <v>124.7685</v>
      </c>
      <c r="V58" s="33">
        <f>ROUND((M58*I56+1.3*M58*K56+S58*H56),4)</f>
        <v>137.565</v>
      </c>
      <c r="W58" s="33">
        <f>ROUND((L58*J56+1.3*L58*N56+S58*G56),4)</f>
        <v>9.33</v>
      </c>
      <c r="X58" s="33">
        <f>ROUND((M58*0.9*J56+1.3*M58*0.9*N56+S58*G56),4)</f>
        <v>10.194000000000001</v>
      </c>
      <c r="Y58" s="33">
        <f>ROUND((M58*J56+1.3*M58*N56+S58*G56),4)</f>
        <v>11.22</v>
      </c>
      <c r="Z58" s="43">
        <f>ROUND((P56*T58*F56*O56/1000000),4)</f>
        <v>0</v>
      </c>
      <c r="AA58" s="43">
        <f>ROUND((Q56*U58*F56*O56/1000000),4)</f>
        <v>7.4999999999999997E-3</v>
      </c>
      <c r="AB58" s="43">
        <f>ROUND((R56*V58*F56*O56/1000000),4)</f>
        <v>8.3000000000000001E-3</v>
      </c>
      <c r="AC58" s="44" t="s">
        <v>167</v>
      </c>
      <c r="AD58" s="45" t="s">
        <v>115</v>
      </c>
      <c r="AE58" s="30">
        <f>ROUND((((X58*E56)/1800)),4)</f>
        <v>5.7000000000000002E-3</v>
      </c>
      <c r="AF58" s="30">
        <f>ROUND(((Z58+AA58+AB58)),5)</f>
        <v>1.5800000000000002E-2</v>
      </c>
      <c r="AG58" s="50"/>
      <c r="AH58" s="50"/>
      <c r="AJ58" s="1"/>
    </row>
    <row r="59" spans="1:36" ht="12.95" customHeight="1" x14ac:dyDescent="0.25">
      <c r="A59" s="23"/>
      <c r="B59" s="35"/>
      <c r="C59" s="35"/>
      <c r="D59" s="36"/>
      <c r="E59" s="36"/>
      <c r="F59" s="36"/>
      <c r="G59" s="36"/>
      <c r="H59" s="36"/>
      <c r="I59" s="36"/>
      <c r="J59" s="36"/>
      <c r="K59" s="36"/>
      <c r="L59" s="40">
        <v>0.71</v>
      </c>
      <c r="M59" s="40">
        <v>0.85</v>
      </c>
      <c r="N59" s="36"/>
      <c r="O59" s="36"/>
      <c r="P59" s="36"/>
      <c r="Q59" s="36"/>
      <c r="R59" s="36"/>
      <c r="S59" s="49">
        <v>0.49</v>
      </c>
      <c r="T59" s="33">
        <f>ROUND((L59*I56+1.3*L59*K56+S59*H56),4)</f>
        <v>268.49250000000001</v>
      </c>
      <c r="U59" s="33">
        <f>ROUND((M59*0.9*I56+1.3*M59*0.9*K56+S59*H56),4)</f>
        <v>287.0138</v>
      </c>
      <c r="V59" s="33">
        <f>ROUND((M59*I56+1.3*M59*K56+S59*H56),4)</f>
        <v>315.63749999999999</v>
      </c>
      <c r="W59" s="33">
        <f>ROUND((L59*J56+1.3*L59*N56+S59*G56),4)</f>
        <v>22.11</v>
      </c>
      <c r="X59" s="33">
        <f>ROUND((M59*0.9*J56+1.3*M59*0.9*N56+S59*G56),4)</f>
        <v>23.594999999999999</v>
      </c>
      <c r="Y59" s="33">
        <f>ROUND((M59*J56+1.3*N56+S59*G56),4)</f>
        <v>27.84</v>
      </c>
      <c r="Z59" s="43">
        <f>ROUND((P56*T59*F56*O56/1000000),4)</f>
        <v>0</v>
      </c>
      <c r="AA59" s="43">
        <f>ROUND((Q56*U59*F56*O56/1000000),4)</f>
        <v>1.72E-2</v>
      </c>
      <c r="AB59" s="43">
        <f>ROUND((R56*V59*F56*O56/1000000),4)</f>
        <v>1.89E-2</v>
      </c>
      <c r="AC59" s="44" t="s">
        <v>168</v>
      </c>
      <c r="AD59" s="45" t="s">
        <v>169</v>
      </c>
      <c r="AE59" s="30">
        <f>ROUND((((X59*E56)/1800)),4)</f>
        <v>1.3100000000000001E-2</v>
      </c>
      <c r="AF59" s="30">
        <f>ROUND(((Z59+AA59+AB59)),4)</f>
        <v>3.61E-2</v>
      </c>
      <c r="AG59" s="50"/>
      <c r="AH59" s="50"/>
      <c r="AJ59" s="1"/>
    </row>
    <row r="60" spans="1:36" ht="12.95" customHeight="1" x14ac:dyDescent="0.25">
      <c r="A60" s="23"/>
      <c r="B60" s="35"/>
      <c r="C60" s="35"/>
      <c r="D60" s="36"/>
      <c r="E60" s="36"/>
      <c r="F60" s="36"/>
      <c r="G60" s="36"/>
      <c r="H60" s="36"/>
      <c r="I60" s="36"/>
      <c r="J60" s="36"/>
      <c r="K60" s="36"/>
      <c r="L60" s="40">
        <v>0.45</v>
      </c>
      <c r="M60" s="40">
        <v>0.67</v>
      </c>
      <c r="N60" s="36"/>
      <c r="O60" s="36"/>
      <c r="P60" s="36"/>
      <c r="Q60" s="36"/>
      <c r="R60" s="36"/>
      <c r="S60" s="49">
        <v>0.1</v>
      </c>
      <c r="T60" s="33">
        <f>ROUND((L60*I56+1.3*L60*K56+S60*H56),4)</f>
        <v>157.53749999999999</v>
      </c>
      <c r="U60" s="33">
        <f>ROUND((M60*0.9*I56+1.3*M60*0.9*K56+S60*H56),4)</f>
        <v>209.06030000000001</v>
      </c>
      <c r="V60" s="33">
        <f>ROUND((M60*I56+1.3*M60*K56+S60*H56),4)</f>
        <v>231.6225</v>
      </c>
      <c r="W60" s="33">
        <f>ROUND((L60*J56+1.3*L60*N56+S60*G56),4)</f>
        <v>12.75</v>
      </c>
      <c r="X60" s="33">
        <f>ROUND((M60*0.9*J56+1.3*M60*0.9*N56+S60*G56),4)</f>
        <v>16.881</v>
      </c>
      <c r="Y60" s="33">
        <f>ROUND((M60*J56+1.3*M60*N56+S60*G56),4)</f>
        <v>18.690000000000001</v>
      </c>
      <c r="Z60" s="43">
        <f>ROUND((P56*T60*F56*O56/1000000),4)</f>
        <v>0</v>
      </c>
      <c r="AA60" s="43">
        <f>ROUND((Q56*U60*F56*O56/1000000),4)</f>
        <v>1.2500000000000001E-2</v>
      </c>
      <c r="AB60" s="43">
        <f>ROUND((R56*V60*F56*O56/1000000),4)</f>
        <v>1.3899999999999999E-2</v>
      </c>
      <c r="AC60" s="44" t="s">
        <v>170</v>
      </c>
      <c r="AD60" s="45" t="s">
        <v>119</v>
      </c>
      <c r="AE60" s="30">
        <f>ROUND((((X60*E56)/1800)),4)</f>
        <v>9.4000000000000004E-3</v>
      </c>
      <c r="AF60" s="30">
        <f>ROUND(((Z60+AA60+AB60)),4)</f>
        <v>2.64E-2</v>
      </c>
      <c r="AG60" s="50"/>
      <c r="AH60" s="50"/>
      <c r="AJ60" s="1"/>
    </row>
    <row r="61" spans="1:36" ht="12.95" customHeight="1" x14ac:dyDescent="0.25">
      <c r="A61" s="23"/>
      <c r="B61" s="41"/>
      <c r="C61" s="41"/>
      <c r="D61" s="37"/>
      <c r="E61" s="37"/>
      <c r="F61" s="37"/>
      <c r="G61" s="37"/>
      <c r="H61" s="37"/>
      <c r="I61" s="37"/>
      <c r="J61" s="37"/>
      <c r="K61" s="37"/>
      <c r="L61" s="40">
        <v>2.09</v>
      </c>
      <c r="M61" s="40">
        <v>2.5499999999999998</v>
      </c>
      <c r="N61" s="37"/>
      <c r="O61" s="37"/>
      <c r="P61" s="37"/>
      <c r="Q61" s="37"/>
      <c r="R61" s="37"/>
      <c r="S61" s="49">
        <v>3.91</v>
      </c>
      <c r="T61" s="33">
        <f>ROUND((L61*I56+1.3*L61*K56+S61*H56),4)</f>
        <v>938.40750000000003</v>
      </c>
      <c r="U61" s="33">
        <f>ROUND((M61*0.9*I56+1.3*M61*0.9*K56+S61*H56),4)</f>
        <v>1007.4413</v>
      </c>
      <c r="V61" s="33">
        <f>ROUND((M61*I56+1.3*M61*K56+S61*H56),4)</f>
        <v>1093.3125</v>
      </c>
      <c r="W61" s="33">
        <f>ROUND((L61*J56+1.3*L61*N56+S61*G56),4)</f>
        <v>79.89</v>
      </c>
      <c r="X61" s="33">
        <f>ROUND((M61*0.9*J56+1.3*M61*0.9*N56+S61*G56),4)</f>
        <v>85.424999999999997</v>
      </c>
      <c r="Y61" s="33">
        <f>ROUND((M61*J56+1.3*M61*N56+S61*G56),4)</f>
        <v>92.31</v>
      </c>
      <c r="Z61" s="43">
        <f>ROUND((P56*T61*F56*O56/1000000),4)</f>
        <v>0</v>
      </c>
      <c r="AA61" s="43">
        <f>ROUND((Q56*U61*F56*O56/1000000),4)</f>
        <v>6.0400000000000002E-2</v>
      </c>
      <c r="AB61" s="43">
        <f>ROUND((R56*V61*F56*O56/1000000),4)</f>
        <v>6.5600000000000006E-2</v>
      </c>
      <c r="AC61" s="44" t="s">
        <v>171</v>
      </c>
      <c r="AD61" s="45" t="s">
        <v>104</v>
      </c>
      <c r="AE61" s="30">
        <f>ROUND((((X61*E56)/1800)),4)</f>
        <v>4.7500000000000001E-2</v>
      </c>
      <c r="AF61" s="30">
        <f>ROUND(((Z61+AA61+AB61)),4)</f>
        <v>0.126</v>
      </c>
      <c r="AG61" s="50"/>
      <c r="AH61" s="50"/>
      <c r="AJ61" s="1"/>
    </row>
    <row r="62" spans="1:36" ht="12.95" customHeight="1" x14ac:dyDescent="0.25">
      <c r="A62" s="22"/>
      <c r="B62" s="31" t="s">
        <v>200</v>
      </c>
      <c r="C62" s="31">
        <v>5</v>
      </c>
      <c r="D62" s="32" t="s">
        <v>173</v>
      </c>
      <c r="E62" s="32">
        <v>1</v>
      </c>
      <c r="F62" s="32">
        <v>1</v>
      </c>
      <c r="G62" s="32">
        <v>6</v>
      </c>
      <c r="H62" s="32">
        <v>60</v>
      </c>
      <c r="I62" s="32">
        <f>(8-1-0.75*2)*60*F62-K62-8*0.12*60</f>
        <v>57.900000000000006</v>
      </c>
      <c r="J62" s="32">
        <v>14</v>
      </c>
      <c r="K62" s="32">
        <f>(8-1-0.75*2)*0.65*60*F62</f>
        <v>214.5</v>
      </c>
      <c r="L62" s="33">
        <v>4.01</v>
      </c>
      <c r="M62" s="33">
        <v>4.01</v>
      </c>
      <c r="N62" s="32">
        <v>10</v>
      </c>
      <c r="O62" s="32">
        <f>E62/F62</f>
        <v>1</v>
      </c>
      <c r="P62" s="32">
        <v>0</v>
      </c>
      <c r="Q62" s="32">
        <v>15</v>
      </c>
      <c r="R62" s="42">
        <v>15</v>
      </c>
      <c r="S62" s="42">
        <v>0.78</v>
      </c>
      <c r="T62" s="33">
        <f>ROUND((L62*I62+1.3*L62*K62+S62*H62),4)</f>
        <v>1397.1675</v>
      </c>
      <c r="U62" s="33">
        <f>ROUND((M62*I62+1.3*M62*K62+S62*H62),4)</f>
        <v>1397.1675</v>
      </c>
      <c r="V62" s="33">
        <f>ROUND((M62*I62+1.3*M62*K62+S62*H62),4)</f>
        <v>1397.1675</v>
      </c>
      <c r="W62" s="33">
        <f>ROUND((L62*J62+1.3*L62*N62+S62*G62),4)</f>
        <v>112.95</v>
      </c>
      <c r="X62" s="33">
        <f>ROUND((M62*J62+1.3*M62*N62+S62*G62),4)</f>
        <v>112.95</v>
      </c>
      <c r="Y62" s="33">
        <f>ROUND((M62*J62+1.3*M62*N62+S62*G62),4)</f>
        <v>112.95</v>
      </c>
      <c r="Z62" s="43">
        <f>ROUND((P62*T62*F62*O62/1000000),4)</f>
        <v>0</v>
      </c>
      <c r="AA62" s="43">
        <f>ROUND((Q62*U62*F62*O62/1000000),4)</f>
        <v>2.1000000000000001E-2</v>
      </c>
      <c r="AB62" s="43">
        <f>ROUND((R62*V62*F62*O62/1000000),4)</f>
        <v>2.1000000000000001E-2</v>
      </c>
      <c r="AC62" s="44" t="s">
        <v>111</v>
      </c>
      <c r="AD62" s="45" t="s">
        <v>95</v>
      </c>
      <c r="AE62" s="30">
        <f>ROUND((((X62*E62)/1800)*0.8),4)</f>
        <v>5.0200000000000002E-2</v>
      </c>
      <c r="AF62" s="30">
        <f>ROUND(((Z62+AA62+AB62)*0.8),4)</f>
        <v>3.3599999999999998E-2</v>
      </c>
      <c r="AG62" s="50"/>
      <c r="AH62" s="50"/>
      <c r="AJ62" s="1"/>
    </row>
    <row r="63" spans="1:36" ht="12.95" customHeight="1" x14ac:dyDescent="0.25">
      <c r="A63" s="22"/>
      <c r="B63" s="34" t="s">
        <v>201</v>
      </c>
      <c r="C63" s="35"/>
      <c r="D63" s="36"/>
      <c r="E63" s="36"/>
      <c r="F63" s="36"/>
      <c r="G63" s="36"/>
      <c r="H63" s="36"/>
      <c r="I63" s="36"/>
      <c r="J63" s="36"/>
      <c r="K63" s="36"/>
      <c r="L63" s="37"/>
      <c r="M63" s="37"/>
      <c r="N63" s="36"/>
      <c r="O63" s="36"/>
      <c r="P63" s="36"/>
      <c r="Q63" s="36"/>
      <c r="R63" s="36"/>
      <c r="S63" s="46"/>
      <c r="T63" s="47"/>
      <c r="U63" s="47"/>
      <c r="V63" s="47"/>
      <c r="W63" s="47"/>
      <c r="X63" s="47"/>
      <c r="Y63" s="47"/>
      <c r="Z63" s="47"/>
      <c r="AA63" s="47"/>
      <c r="AB63" s="47"/>
      <c r="AC63" s="44" t="s">
        <v>112</v>
      </c>
      <c r="AD63" s="45" t="s">
        <v>113</v>
      </c>
      <c r="AE63" s="30">
        <f>ROUND((((X62*E62)/1800)*0.13),4)</f>
        <v>8.2000000000000007E-3</v>
      </c>
      <c r="AF63" s="30">
        <f>ROUND(((Z62+AA62+AB62)*0.13),4)</f>
        <v>5.4999999999999997E-3</v>
      </c>
      <c r="AG63" s="50"/>
      <c r="AH63" s="50"/>
      <c r="AJ63" s="1"/>
    </row>
    <row r="64" spans="1:36" ht="12.95" customHeight="1" x14ac:dyDescent="0.25">
      <c r="A64" s="22"/>
      <c r="B64" s="35"/>
      <c r="C64" s="38"/>
      <c r="D64" s="39"/>
      <c r="E64" s="36"/>
      <c r="F64" s="36"/>
      <c r="G64" s="36"/>
      <c r="H64" s="36"/>
      <c r="I64" s="36"/>
      <c r="J64" s="36"/>
      <c r="K64" s="36"/>
      <c r="L64" s="40">
        <v>0.31</v>
      </c>
      <c r="M64" s="40">
        <v>0.38</v>
      </c>
      <c r="N64" s="36"/>
      <c r="O64" s="36"/>
      <c r="P64" s="36"/>
      <c r="Q64" s="36"/>
      <c r="R64" s="36"/>
      <c r="S64" s="48">
        <v>0.16</v>
      </c>
      <c r="T64" s="33">
        <f>ROUND((L64*I62+1.3*L64*K62+S64*H62),4)</f>
        <v>113.99250000000001</v>
      </c>
      <c r="U64" s="33">
        <f>ROUND((M64*0.9*I62+1.3*M64*0.9*K62+S64*H62),4)</f>
        <v>124.7685</v>
      </c>
      <c r="V64" s="33">
        <f>ROUND((M64*I62+1.3*M64*K62+S64*H62),4)</f>
        <v>137.565</v>
      </c>
      <c r="W64" s="33">
        <f>ROUND((L64*J62+1.3*L64*N62+S64*G62),4)</f>
        <v>9.33</v>
      </c>
      <c r="X64" s="33">
        <f>ROUND((M64*0.9*J62+1.3*M64*0.9*N62+S64*G62),4)</f>
        <v>10.194000000000001</v>
      </c>
      <c r="Y64" s="33">
        <f>ROUND((M64*J62+1.3*M64*N62+S64*G62),4)</f>
        <v>11.22</v>
      </c>
      <c r="Z64" s="43">
        <f>ROUND((P62*T64*F62*O62/1000000),4)</f>
        <v>0</v>
      </c>
      <c r="AA64" s="43">
        <f>ROUND((Q62*U64*F62*O62/1000000),4)</f>
        <v>1.9E-3</v>
      </c>
      <c r="AB64" s="43">
        <f>ROUND((R62*V64*F62*O62/1000000),4)</f>
        <v>2.0999999999999999E-3</v>
      </c>
      <c r="AC64" s="44" t="s">
        <v>167</v>
      </c>
      <c r="AD64" s="45" t="s">
        <v>115</v>
      </c>
      <c r="AE64" s="30">
        <f>ROUND((((X64*E62)/1800)),4)</f>
        <v>5.7000000000000002E-3</v>
      </c>
      <c r="AF64" s="30">
        <f>ROUND(((Z64+AA64+AB64)),5)</f>
        <v>4.0000000000000001E-3</v>
      </c>
      <c r="AG64" s="50"/>
      <c r="AH64" s="50"/>
      <c r="AJ64" s="1"/>
    </row>
    <row r="65" spans="1:36" ht="12.95" customHeight="1" x14ac:dyDescent="0.25">
      <c r="A65" s="22"/>
      <c r="B65" s="35"/>
      <c r="C65" s="35"/>
      <c r="D65" s="36"/>
      <c r="E65" s="36"/>
      <c r="F65" s="36"/>
      <c r="G65" s="36"/>
      <c r="H65" s="36"/>
      <c r="I65" s="36"/>
      <c r="J65" s="36"/>
      <c r="K65" s="36"/>
      <c r="L65" s="40">
        <v>0.71</v>
      </c>
      <c r="M65" s="40">
        <v>0.85</v>
      </c>
      <c r="N65" s="36"/>
      <c r="O65" s="36"/>
      <c r="P65" s="36"/>
      <c r="Q65" s="36"/>
      <c r="R65" s="36"/>
      <c r="S65" s="49">
        <v>0.49</v>
      </c>
      <c r="T65" s="33">
        <f>ROUND((L65*I62+1.3*L65*K62+S65*H62),4)</f>
        <v>268.49250000000001</v>
      </c>
      <c r="U65" s="33">
        <f>ROUND((M65*0.9*I62+1.3*M65*0.9*K62+S65*H62),4)</f>
        <v>287.0138</v>
      </c>
      <c r="V65" s="33">
        <f>ROUND((M65*I62+1.3*M65*K62+S65*H62),4)</f>
        <v>315.63749999999999</v>
      </c>
      <c r="W65" s="33">
        <f>ROUND((L65*J62+1.3*L65*N62+S65*G62),4)</f>
        <v>22.11</v>
      </c>
      <c r="X65" s="33">
        <f>ROUND((M65*0.9*J62+1.3*M65*0.9*N62+S65*G62),4)</f>
        <v>23.594999999999999</v>
      </c>
      <c r="Y65" s="33">
        <f>ROUND((M65*J62+1.3*N62+S65*G62),4)</f>
        <v>27.84</v>
      </c>
      <c r="Z65" s="43">
        <f>ROUND((P62*T65*F62*O62/1000000),4)</f>
        <v>0</v>
      </c>
      <c r="AA65" s="43">
        <f>ROUND((Q62*U65*F62*O62/1000000),4)</f>
        <v>4.3E-3</v>
      </c>
      <c r="AB65" s="43">
        <f>ROUND((R62*V65*F62*O62/1000000),4)</f>
        <v>4.7000000000000002E-3</v>
      </c>
      <c r="AC65" s="44" t="s">
        <v>168</v>
      </c>
      <c r="AD65" s="45" t="s">
        <v>169</v>
      </c>
      <c r="AE65" s="30">
        <f>ROUND((((X65*E62)/1800)),4)</f>
        <v>1.3100000000000001E-2</v>
      </c>
      <c r="AF65" s="30">
        <f>ROUND(((Z65+AA65+AB65)),4)</f>
        <v>8.9999999999999993E-3</v>
      </c>
      <c r="AG65" s="50"/>
      <c r="AH65" s="50"/>
      <c r="AJ65" s="1"/>
    </row>
    <row r="66" spans="1:36" ht="12.95" customHeight="1" x14ac:dyDescent="0.25">
      <c r="A66" s="22"/>
      <c r="B66" s="35"/>
      <c r="C66" s="35"/>
      <c r="D66" s="36"/>
      <c r="E66" s="36"/>
      <c r="F66" s="36"/>
      <c r="G66" s="36"/>
      <c r="H66" s="36"/>
      <c r="I66" s="36"/>
      <c r="J66" s="36"/>
      <c r="K66" s="36"/>
      <c r="L66" s="40">
        <v>0.45</v>
      </c>
      <c r="M66" s="40">
        <v>0.67</v>
      </c>
      <c r="N66" s="36"/>
      <c r="O66" s="36"/>
      <c r="P66" s="36"/>
      <c r="Q66" s="36"/>
      <c r="R66" s="36"/>
      <c r="S66" s="49">
        <v>0.1</v>
      </c>
      <c r="T66" s="33">
        <f>ROUND((L66*I62+1.3*L66*K62+S66*H62),4)</f>
        <v>157.53749999999999</v>
      </c>
      <c r="U66" s="33">
        <f>ROUND((M66*0.9*I62+1.3*M66*0.9*K62+S66*H62),4)</f>
        <v>209.06030000000001</v>
      </c>
      <c r="V66" s="33">
        <f>ROUND((M66*I62+1.3*M66*K62+S66*H62),4)</f>
        <v>231.6225</v>
      </c>
      <c r="W66" s="33">
        <f>ROUND((L66*J62+1.3*L66*N62+S66*G62),4)</f>
        <v>12.75</v>
      </c>
      <c r="X66" s="33">
        <f>ROUND((M66*0.9*J62+1.3*M66*0.9*N62+S66*G62),4)</f>
        <v>16.881</v>
      </c>
      <c r="Y66" s="33">
        <f>ROUND((M66*J62+1.3*M66*N62+S66*G62),4)</f>
        <v>18.690000000000001</v>
      </c>
      <c r="Z66" s="43">
        <f>ROUND((P62*T66*F62*O62/1000000),4)</f>
        <v>0</v>
      </c>
      <c r="AA66" s="43">
        <f>ROUND((Q62*U66*F62*O62/1000000),4)</f>
        <v>3.0999999999999999E-3</v>
      </c>
      <c r="AB66" s="43">
        <f>ROUND((R62*V66*F62*O62/1000000),4)</f>
        <v>3.5000000000000001E-3</v>
      </c>
      <c r="AC66" s="44" t="s">
        <v>170</v>
      </c>
      <c r="AD66" s="45" t="s">
        <v>119</v>
      </c>
      <c r="AE66" s="30">
        <f>ROUND((((X66*E62)/1800)),4)</f>
        <v>9.4000000000000004E-3</v>
      </c>
      <c r="AF66" s="30">
        <f>ROUND(((Z66+AA66+AB66)),4)</f>
        <v>6.6E-3</v>
      </c>
      <c r="AG66" s="50"/>
      <c r="AH66" s="50"/>
      <c r="AJ66" s="1"/>
    </row>
    <row r="67" spans="1:36" ht="12.95" customHeight="1" x14ac:dyDescent="0.25">
      <c r="A67" s="22"/>
      <c r="B67" s="41"/>
      <c r="C67" s="41"/>
      <c r="D67" s="37"/>
      <c r="E67" s="37"/>
      <c r="F67" s="37"/>
      <c r="G67" s="37"/>
      <c r="H67" s="37"/>
      <c r="I67" s="37"/>
      <c r="J67" s="37"/>
      <c r="K67" s="37"/>
      <c r="L67" s="40">
        <v>2.09</v>
      </c>
      <c r="M67" s="40">
        <v>2.5499999999999998</v>
      </c>
      <c r="N67" s="37"/>
      <c r="O67" s="37"/>
      <c r="P67" s="37"/>
      <c r="Q67" s="37"/>
      <c r="R67" s="37"/>
      <c r="S67" s="49">
        <v>3.91</v>
      </c>
      <c r="T67" s="33">
        <f>ROUND((L67*I62+1.3*L67*K62+S67*H62),4)</f>
        <v>938.40750000000003</v>
      </c>
      <c r="U67" s="33">
        <f>ROUND((M67*0.9*I62+1.3*M67*0.9*K62+S67*H62),4)</f>
        <v>1007.4413</v>
      </c>
      <c r="V67" s="33">
        <f>ROUND((M67*I62+1.3*M67*K62+S67*H62),4)</f>
        <v>1093.3125</v>
      </c>
      <c r="W67" s="33">
        <f>ROUND((L67*J62+1.3*L67*N62+S67*G62),4)</f>
        <v>79.89</v>
      </c>
      <c r="X67" s="33">
        <f>ROUND((M67*0.9*J62+1.3*M67*0.9*N62+S67*G62),4)</f>
        <v>85.424999999999997</v>
      </c>
      <c r="Y67" s="33">
        <f>ROUND((M67*J62+1.3*M67*N62+S67*G62),4)</f>
        <v>92.31</v>
      </c>
      <c r="Z67" s="43">
        <f>ROUND((P62*T67*F62*O62/1000000),4)</f>
        <v>0</v>
      </c>
      <c r="AA67" s="43">
        <f>ROUND((Q62*U67*F62*O62/1000000),4)</f>
        <v>1.5100000000000001E-2</v>
      </c>
      <c r="AB67" s="43">
        <f>ROUND((R62*V67*F62*O62/1000000),4)</f>
        <v>1.6400000000000001E-2</v>
      </c>
      <c r="AC67" s="44" t="s">
        <v>171</v>
      </c>
      <c r="AD67" s="45" t="s">
        <v>104</v>
      </c>
      <c r="AE67" s="30">
        <f>ROUND((((X67*E62)/1800)),4)</f>
        <v>4.7500000000000001E-2</v>
      </c>
      <c r="AF67" s="30">
        <f>ROUND(((Z67+AA67+AB67)),4)</f>
        <v>3.15E-2</v>
      </c>
      <c r="AG67" s="50"/>
      <c r="AH67" s="50"/>
      <c r="AJ67" s="1"/>
    </row>
    <row r="68" spans="1:36" ht="12.95" customHeight="1" x14ac:dyDescent="0.25">
      <c r="A68" s="23"/>
      <c r="B68" s="31" t="s">
        <v>172</v>
      </c>
      <c r="C68" s="31">
        <v>6</v>
      </c>
      <c r="D68" s="32" t="s">
        <v>175</v>
      </c>
      <c r="E68" s="32">
        <v>1</v>
      </c>
      <c r="F68" s="32">
        <v>4</v>
      </c>
      <c r="G68" s="32">
        <v>6</v>
      </c>
      <c r="H68" s="32">
        <v>60</v>
      </c>
      <c r="I68" s="32">
        <f>(8-1-0.75*2)*60*F68-K68-8*0.12*60</f>
        <v>404.4</v>
      </c>
      <c r="J68" s="32">
        <v>14</v>
      </c>
      <c r="K68" s="32">
        <f>(8-1-0.75*2)*0.65*60*F68</f>
        <v>858</v>
      </c>
      <c r="L68" s="33">
        <v>6.47</v>
      </c>
      <c r="M68" s="33">
        <v>6.47</v>
      </c>
      <c r="N68" s="32">
        <v>10</v>
      </c>
      <c r="O68" s="32">
        <f>E68/F68</f>
        <v>0.25</v>
      </c>
      <c r="P68" s="32">
        <v>0</v>
      </c>
      <c r="Q68" s="32">
        <v>60</v>
      </c>
      <c r="R68" s="42">
        <v>60</v>
      </c>
      <c r="S68" s="42">
        <v>1.27</v>
      </c>
      <c r="T68" s="33">
        <f>ROUND((L68*I68+1.3*L68*K68+S68*H68),4)</f>
        <v>9909.3060000000005</v>
      </c>
      <c r="U68" s="33">
        <f>ROUND((M68*I68+1.3*M68*K68+S68*H68),4)</f>
        <v>9909.3060000000005</v>
      </c>
      <c r="V68" s="33">
        <f>ROUND((M68*I68+1.3*M68*K68+S68*H68),4)</f>
        <v>9909.3060000000005</v>
      </c>
      <c r="W68" s="33">
        <f>ROUND((L68*J68+1.3*L68*N68+S68*G68),4)</f>
        <v>182.31</v>
      </c>
      <c r="X68" s="33">
        <f>ROUND((M68*J68+1.3*M68*N68+S68*G68),4)</f>
        <v>182.31</v>
      </c>
      <c r="Y68" s="33">
        <f>ROUND((M68*J68+1.3*M68*N68+S68*G68),4)</f>
        <v>182.31</v>
      </c>
      <c r="Z68" s="43">
        <f>ROUND((P68*T68*F68*O68/1000000),4)</f>
        <v>0</v>
      </c>
      <c r="AA68" s="43">
        <f>ROUND((Q68*U68*F68*O68/1000000),4)</f>
        <v>0.59460000000000002</v>
      </c>
      <c r="AB68" s="43">
        <f>ROUND((R68*V68*F68*O68/1000000),4)</f>
        <v>0.59460000000000002</v>
      </c>
      <c r="AC68" s="44" t="s">
        <v>111</v>
      </c>
      <c r="AD68" s="45" t="s">
        <v>95</v>
      </c>
      <c r="AE68" s="30">
        <f>ROUND((((X68*E68)/1800)*0.8),4)</f>
        <v>8.1000000000000003E-2</v>
      </c>
      <c r="AF68" s="30">
        <f>ROUND(((Z68+AA68+AB68)*0.8),4)</f>
        <v>0.95140000000000002</v>
      </c>
      <c r="AG68" s="50"/>
      <c r="AH68" s="50"/>
      <c r="AJ68" s="1"/>
    </row>
    <row r="69" spans="1:36" ht="12.95" customHeight="1" x14ac:dyDescent="0.25">
      <c r="A69" s="23"/>
      <c r="B69" s="35" t="s">
        <v>176</v>
      </c>
      <c r="C69" s="36"/>
      <c r="D69" s="36"/>
      <c r="E69" s="36"/>
      <c r="F69" s="36"/>
      <c r="G69" s="36"/>
      <c r="H69" s="36"/>
      <c r="I69" s="36"/>
      <c r="J69" s="36"/>
      <c r="K69" s="36"/>
      <c r="L69" s="37"/>
      <c r="M69" s="37"/>
      <c r="N69" s="36"/>
      <c r="O69" s="36"/>
      <c r="P69" s="36"/>
      <c r="Q69" s="36"/>
      <c r="R69" s="36"/>
      <c r="S69" s="46"/>
      <c r="T69" s="47"/>
      <c r="U69" s="47"/>
      <c r="V69" s="47"/>
      <c r="W69" s="47"/>
      <c r="X69" s="47"/>
      <c r="Y69" s="47"/>
      <c r="Z69" s="47"/>
      <c r="AA69" s="47"/>
      <c r="AB69" s="47"/>
      <c r="AC69" s="44" t="s">
        <v>112</v>
      </c>
      <c r="AD69" s="45" t="s">
        <v>113</v>
      </c>
      <c r="AE69" s="30">
        <f>ROUND((((X68*E68)/1800)*0.13),4)</f>
        <v>1.32E-2</v>
      </c>
      <c r="AF69" s="30">
        <f>ROUND(((Z68+AA68+AB68)*0.13),4)</f>
        <v>0.15459999999999999</v>
      </c>
      <c r="AG69" s="50"/>
      <c r="AH69" s="50"/>
      <c r="AJ69" s="1"/>
    </row>
    <row r="70" spans="1:36" ht="12.95" customHeight="1" x14ac:dyDescent="0.25">
      <c r="A70" s="23"/>
      <c r="B70" s="50"/>
      <c r="C70" s="39"/>
      <c r="D70" s="39"/>
      <c r="E70" s="36"/>
      <c r="F70" s="36"/>
      <c r="G70" s="36"/>
      <c r="H70" s="36"/>
      <c r="I70" s="36"/>
      <c r="J70" s="36"/>
      <c r="K70" s="36"/>
      <c r="L70" s="40">
        <v>0.51</v>
      </c>
      <c r="M70" s="40">
        <v>0.63</v>
      </c>
      <c r="N70" s="36"/>
      <c r="O70" s="36"/>
      <c r="P70" s="36"/>
      <c r="Q70" s="36"/>
      <c r="R70" s="36"/>
      <c r="S70" s="48">
        <v>0.25</v>
      </c>
      <c r="T70" s="33">
        <f>ROUND((L70*I68+1.3*L70*K68+S70*H68),4)</f>
        <v>790.09799999999996</v>
      </c>
      <c r="U70" s="33">
        <f>ROUND((M70*0.9*I68+1.3*M70*0.9*K68+S70*H68),4)</f>
        <v>876.72659999999996</v>
      </c>
      <c r="V70" s="33">
        <f>ROUND((M70*I68+1.3*M70*K68+S70*H68),4)</f>
        <v>972.47400000000005</v>
      </c>
      <c r="W70" s="33">
        <f>ROUND((L70*J68+1.3*L70*N68+S70*G68),4)</f>
        <v>15.27</v>
      </c>
      <c r="X70" s="33">
        <f>ROUND((M70*0.9*J68+1.3*M70*0.9*N68+S70*G68),4)</f>
        <v>16.809000000000001</v>
      </c>
      <c r="Y70" s="33">
        <f>ROUND((M70*J68+1.3*M70*N68+S70*G68),4)</f>
        <v>18.510000000000002</v>
      </c>
      <c r="Z70" s="43">
        <f>ROUND((P68*T70*F68*O68/1000000),4)</f>
        <v>0</v>
      </c>
      <c r="AA70" s="43">
        <f>ROUND((Q68*U70*F68*O68/1000000),4)</f>
        <v>5.2600000000000001E-2</v>
      </c>
      <c r="AB70" s="43">
        <f>ROUND((R68*V70*F68*O68/1000000),4)</f>
        <v>5.8299999999999998E-2</v>
      </c>
      <c r="AC70" s="44" t="s">
        <v>167</v>
      </c>
      <c r="AD70" s="45" t="s">
        <v>115</v>
      </c>
      <c r="AE70" s="30">
        <f>ROUND((((X70*E68)/1800)),4)</f>
        <v>9.2999999999999992E-3</v>
      </c>
      <c r="AF70" s="30">
        <f>ROUND(((Z70+AA70+AB70)),5)</f>
        <v>0.1109</v>
      </c>
      <c r="AG70" s="50"/>
      <c r="AH70" s="50"/>
      <c r="AJ70" s="1"/>
    </row>
    <row r="71" spans="1:36" ht="12.95" customHeight="1" x14ac:dyDescent="0.25">
      <c r="A71" s="23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40">
        <v>1.1399999999999999</v>
      </c>
      <c r="M71" s="40">
        <v>1.37</v>
      </c>
      <c r="N71" s="36"/>
      <c r="O71" s="36"/>
      <c r="P71" s="36"/>
      <c r="Q71" s="36"/>
      <c r="R71" s="36"/>
      <c r="S71" s="49">
        <v>0.79</v>
      </c>
      <c r="T71" s="33">
        <f>ROUND((L71*I68+1.3*L71*K68+S71*H68),4)</f>
        <v>1779.972</v>
      </c>
      <c r="U71" s="33">
        <f>ROUND((M71*0.9*I68+1.3*M71*0.9*K68+S71*H68),4)</f>
        <v>1921.3134</v>
      </c>
      <c r="V71" s="33">
        <f>ROUND((M71*I68+1.3*M71*K68+S71*H68),4)</f>
        <v>2129.5259999999998</v>
      </c>
      <c r="W71" s="33">
        <f>ROUND((L71*J68+1.3*L71*N68+S71*G68),4)</f>
        <v>35.520000000000003</v>
      </c>
      <c r="X71" s="33">
        <f>ROUND((M71*0.9*J68+1.3*M71*0.9*N68+S71*G68),4)</f>
        <v>38.030999999999999</v>
      </c>
      <c r="Y71" s="33">
        <f>ROUND((M71*J68+1.3*N68+S71*G68),4)</f>
        <v>36.92</v>
      </c>
      <c r="Z71" s="43">
        <f>ROUND((P68*T71*F68*O68/1000000),4)</f>
        <v>0</v>
      </c>
      <c r="AA71" s="43">
        <f>ROUND((Q68*U71*F68*O68/1000000),4)</f>
        <v>0.1153</v>
      </c>
      <c r="AB71" s="43">
        <f>ROUND((R68*V71*F68*O68/1000000),4)</f>
        <v>0.1278</v>
      </c>
      <c r="AC71" s="44" t="s">
        <v>168</v>
      </c>
      <c r="AD71" s="45" t="s">
        <v>169</v>
      </c>
      <c r="AE71" s="30">
        <f>ROUND((((X71*E68)/1800)),4)</f>
        <v>2.1100000000000001E-2</v>
      </c>
      <c r="AF71" s="30">
        <f>ROUND(((Z71+AA71+AB71)),4)</f>
        <v>0.24310000000000001</v>
      </c>
      <c r="AG71" s="50"/>
      <c r="AH71" s="50"/>
      <c r="AJ71" s="1"/>
    </row>
    <row r="72" spans="1:36" ht="12.95" customHeight="1" x14ac:dyDescent="0.25">
      <c r="A72" s="23"/>
      <c r="B72" s="35"/>
      <c r="C72" s="36"/>
      <c r="D72" s="36"/>
      <c r="E72" s="36"/>
      <c r="F72" s="36"/>
      <c r="G72" s="36"/>
      <c r="H72" s="36"/>
      <c r="I72" s="36"/>
      <c r="J72" s="36"/>
      <c r="K72" s="36"/>
      <c r="L72" s="40">
        <v>0.72</v>
      </c>
      <c r="M72" s="40">
        <v>1.08</v>
      </c>
      <c r="N72" s="36"/>
      <c r="O72" s="36"/>
      <c r="P72" s="36"/>
      <c r="Q72" s="36"/>
      <c r="R72" s="36"/>
      <c r="S72" s="49">
        <v>0.17</v>
      </c>
      <c r="T72" s="33">
        <f>ROUND((L72*I68+1.3*L72*K68+S72*H68),4)</f>
        <v>1104.4559999999999</v>
      </c>
      <c r="U72" s="33">
        <f>ROUND((M72*0.9*I68+1.3*M72*0.9*K68+S72*H68),4)</f>
        <v>1487.4456</v>
      </c>
      <c r="V72" s="33">
        <f>ROUND((M72*I68+1.3*M72*K68+S72*H68),4)</f>
        <v>1651.5840000000001</v>
      </c>
      <c r="W72" s="33">
        <f>ROUND((L72*J68+1.3*L72*N68+S72*G68),4)</f>
        <v>20.46</v>
      </c>
      <c r="X72" s="33">
        <f>ROUND((M72*0.9*J68+1.3*M72*0.9*N68+S72*G68),4)</f>
        <v>27.263999999999999</v>
      </c>
      <c r="Y72" s="33">
        <f>ROUND((M72*J68+1.3*M72*N68+S72*G68),4)</f>
        <v>30.18</v>
      </c>
      <c r="Z72" s="43">
        <f>ROUND((P68*T72*F68*O68/1000000),4)</f>
        <v>0</v>
      </c>
      <c r="AA72" s="43">
        <f>ROUND((Q68*U72*F68*O68/1000000),4)</f>
        <v>8.9200000000000002E-2</v>
      </c>
      <c r="AB72" s="43">
        <f>ROUND((R68*V72*F68*O68/1000000),4)</f>
        <v>9.9099999999999994E-2</v>
      </c>
      <c r="AC72" s="44" t="s">
        <v>170</v>
      </c>
      <c r="AD72" s="45" t="s">
        <v>119</v>
      </c>
      <c r="AE72" s="30">
        <f>ROUND((((X72*E68)/1800)),4)</f>
        <v>1.5100000000000001E-2</v>
      </c>
      <c r="AF72" s="30">
        <f>ROUND(((Z72+AA72+AB72)),4)</f>
        <v>0.1883</v>
      </c>
      <c r="AG72" s="50"/>
      <c r="AH72" s="50"/>
      <c r="AJ72" s="1"/>
    </row>
    <row r="73" spans="1:36" ht="12.95" customHeight="1" x14ac:dyDescent="0.25">
      <c r="A73" s="23"/>
      <c r="B73" s="41"/>
      <c r="C73" s="37"/>
      <c r="D73" s="37"/>
      <c r="E73" s="37"/>
      <c r="F73" s="37"/>
      <c r="G73" s="37"/>
      <c r="H73" s="37"/>
      <c r="I73" s="37"/>
      <c r="J73" s="37"/>
      <c r="K73" s="37"/>
      <c r="L73" s="40">
        <v>3.37</v>
      </c>
      <c r="M73" s="40">
        <v>4.1100000000000003</v>
      </c>
      <c r="N73" s="37"/>
      <c r="O73" s="37"/>
      <c r="P73" s="37"/>
      <c r="Q73" s="37"/>
      <c r="R73" s="37"/>
      <c r="S73" s="49">
        <v>6.31</v>
      </c>
      <c r="T73" s="33">
        <f>ROUND((L73*I68+1.3*L73*K68+S73*H68),4)</f>
        <v>5500.326</v>
      </c>
      <c r="U73" s="33">
        <f>ROUND((M73*0.9*I68+1.3*M73*0.9*K68+S73*H68),4)</f>
        <v>6000.3401999999996</v>
      </c>
      <c r="V73" s="33">
        <f>ROUND((M73*I68+1.3*M73*K68+S73*H68),4)</f>
        <v>6624.9780000000001</v>
      </c>
      <c r="W73" s="33">
        <f>ROUND((L73*J68+1.3*L73*N68+S73*G68),4)</f>
        <v>128.85</v>
      </c>
      <c r="X73" s="33">
        <f>ROUND((M73*0.9*J68+1.3*M73*0.9*N68+S73*G68),4)</f>
        <v>137.733</v>
      </c>
      <c r="Y73" s="33">
        <f>ROUND((M73*J68+1.3*M73*N68+S73*G68),4)</f>
        <v>148.83000000000001</v>
      </c>
      <c r="Z73" s="43">
        <f>ROUND((P68*T73*F68*O68/1000000),4)</f>
        <v>0</v>
      </c>
      <c r="AA73" s="43">
        <f>ROUND((Q68*U73*F68*O68/1000000),4)</f>
        <v>0.36</v>
      </c>
      <c r="AB73" s="43">
        <f>ROUND((R68*V73*F68*O68/1000000),4)</f>
        <v>0.39750000000000002</v>
      </c>
      <c r="AC73" s="44" t="s">
        <v>171</v>
      </c>
      <c r="AD73" s="45" t="s">
        <v>104</v>
      </c>
      <c r="AE73" s="30">
        <f>ROUND((((X73*E68)/1800)),4)</f>
        <v>7.6499999999999999E-2</v>
      </c>
      <c r="AF73" s="30">
        <f>ROUND(((Z73+AA73+AB73)),4)</f>
        <v>0.75749999999999995</v>
      </c>
      <c r="AG73" s="50"/>
      <c r="AH73" s="50"/>
      <c r="AJ73" s="1"/>
    </row>
    <row r="74" spans="1:36" ht="12.95" customHeight="1" x14ac:dyDescent="0.25">
      <c r="A74" s="36"/>
      <c r="B74" s="50" t="s">
        <v>177</v>
      </c>
      <c r="C74" s="31">
        <v>6</v>
      </c>
      <c r="D74" s="32" t="s">
        <v>175</v>
      </c>
      <c r="E74" s="32">
        <v>1</v>
      </c>
      <c r="F74" s="32">
        <v>1</v>
      </c>
      <c r="G74" s="32">
        <v>6</v>
      </c>
      <c r="H74" s="32">
        <v>60</v>
      </c>
      <c r="I74" s="32">
        <f>(8-1-0.75*2)*60*F74-K74-8*0.12*60</f>
        <v>57.900000000000006</v>
      </c>
      <c r="J74" s="32">
        <v>14</v>
      </c>
      <c r="K74" s="32">
        <f>(8-1-0.75*2)*0.65*60*F74</f>
        <v>214.5</v>
      </c>
      <c r="L74" s="33">
        <v>6.47</v>
      </c>
      <c r="M74" s="33">
        <v>6.47</v>
      </c>
      <c r="N74" s="32">
        <v>10</v>
      </c>
      <c r="O74" s="32">
        <f>E74/F74</f>
        <v>1</v>
      </c>
      <c r="P74" s="32">
        <v>0</v>
      </c>
      <c r="Q74" s="32">
        <v>30</v>
      </c>
      <c r="R74" s="42">
        <v>30</v>
      </c>
      <c r="S74" s="42">
        <v>1.27</v>
      </c>
      <c r="T74" s="33">
        <f>ROUND((L74*I74+1.3*L74*K74+S74*H74),4)</f>
        <v>2254.9724999999999</v>
      </c>
      <c r="U74" s="33">
        <f>ROUND((M74*I74+1.3*M74*K74+S74*H74),4)</f>
        <v>2254.9724999999999</v>
      </c>
      <c r="V74" s="33">
        <f>ROUND((M74*I74+1.3*M74*K74+S74*H74),4)</f>
        <v>2254.9724999999999</v>
      </c>
      <c r="W74" s="33">
        <f>ROUND((L74*J74+1.3*L74*N74+S74*G74),4)</f>
        <v>182.31</v>
      </c>
      <c r="X74" s="33">
        <f>ROUND((M74*J74+1.3*M74*N74+S74*G74),4)</f>
        <v>182.31</v>
      </c>
      <c r="Y74" s="33">
        <f>ROUND((M74*J74+1.3*M74*N74+S74*G74),4)</f>
        <v>182.31</v>
      </c>
      <c r="Z74" s="43">
        <f>ROUND((P74*T74*F74*O74/1000000),4)</f>
        <v>0</v>
      </c>
      <c r="AA74" s="43">
        <f>ROUND((Q74*U74*F74*O74/1000000),4)</f>
        <v>6.7599999999999993E-2</v>
      </c>
      <c r="AB74" s="43">
        <f>ROUND((R74*V74*F74*O74/1000000),4)</f>
        <v>6.7599999999999993E-2</v>
      </c>
      <c r="AC74" s="44" t="s">
        <v>111</v>
      </c>
      <c r="AD74" s="45" t="s">
        <v>95</v>
      </c>
      <c r="AE74" s="30">
        <f>ROUND((((X74*E74)/1800)*0.8),4)</f>
        <v>8.1000000000000003E-2</v>
      </c>
      <c r="AF74" s="30">
        <f>ROUND(((Z74+AA74+AB74)*0.8),4)</f>
        <v>0.1082</v>
      </c>
      <c r="AG74" s="50"/>
      <c r="AH74" s="50"/>
      <c r="AI74" s="1"/>
      <c r="AJ74" s="1"/>
    </row>
    <row r="75" spans="1:36" ht="12.95" customHeight="1" x14ac:dyDescent="0.25">
      <c r="A75" s="36"/>
      <c r="B75" s="35" t="s">
        <v>178</v>
      </c>
      <c r="C75" s="36"/>
      <c r="D75" s="36"/>
      <c r="E75" s="36"/>
      <c r="F75" s="36"/>
      <c r="G75" s="36"/>
      <c r="H75" s="36"/>
      <c r="I75" s="36"/>
      <c r="J75" s="36"/>
      <c r="K75" s="36"/>
      <c r="L75" s="37"/>
      <c r="M75" s="37"/>
      <c r="N75" s="36"/>
      <c r="O75" s="36"/>
      <c r="P75" s="36"/>
      <c r="Q75" s="36"/>
      <c r="R75" s="36"/>
      <c r="S75" s="46"/>
      <c r="T75" s="47"/>
      <c r="U75" s="47"/>
      <c r="V75" s="47"/>
      <c r="W75" s="47"/>
      <c r="X75" s="47"/>
      <c r="Y75" s="47"/>
      <c r="Z75" s="47"/>
      <c r="AA75" s="47"/>
      <c r="AB75" s="47"/>
      <c r="AC75" s="44" t="s">
        <v>112</v>
      </c>
      <c r="AD75" s="45" t="s">
        <v>113</v>
      </c>
      <c r="AE75" s="30">
        <f>ROUND((((X74*E74)/1800)*0.13),4)</f>
        <v>1.32E-2</v>
      </c>
      <c r="AF75" s="30">
        <f>ROUND(((Z74+AA74+AB74)*0.13),4)</f>
        <v>1.7600000000000001E-2</v>
      </c>
      <c r="AG75" s="50"/>
      <c r="AH75" s="50"/>
      <c r="AI75" s="1"/>
      <c r="AJ75" s="1"/>
    </row>
    <row r="76" spans="1:36" ht="12.95" customHeight="1" x14ac:dyDescent="0.25">
      <c r="A76" s="36"/>
      <c r="C76" s="39"/>
      <c r="D76" s="39"/>
      <c r="E76" s="36"/>
      <c r="F76" s="36"/>
      <c r="G76" s="36"/>
      <c r="H76" s="36"/>
      <c r="I76" s="36"/>
      <c r="J76" s="36"/>
      <c r="K76" s="36"/>
      <c r="L76" s="40">
        <v>0.51</v>
      </c>
      <c r="M76" s="40">
        <v>0.63</v>
      </c>
      <c r="N76" s="36"/>
      <c r="O76" s="36"/>
      <c r="P76" s="36"/>
      <c r="Q76" s="36"/>
      <c r="R76" s="36"/>
      <c r="S76" s="48">
        <v>0.25</v>
      </c>
      <c r="T76" s="33">
        <f>ROUND((L76*I74+1.3*L76*K74+S76*H74),4)</f>
        <v>186.74250000000001</v>
      </c>
      <c r="U76" s="33">
        <f>ROUND((M76*0.9*I74+1.3*M76*0.9*K74+S76*H74),4)</f>
        <v>205.93729999999999</v>
      </c>
      <c r="V76" s="33">
        <f>ROUND((M76*I74+1.3*M76*K74+S76*H74),4)</f>
        <v>227.1525</v>
      </c>
      <c r="W76" s="33">
        <f>ROUND((L76*J74+1.3*L76*N74+S76*G74),4)</f>
        <v>15.27</v>
      </c>
      <c r="X76" s="33">
        <f>ROUND((M76*0.9*J74+1.3*M76*0.9*N74+S76*G74),4)</f>
        <v>16.809000000000001</v>
      </c>
      <c r="Y76" s="33">
        <f>ROUND((M76*J74+1.3*M76*N74+S76*G74),4)</f>
        <v>18.510000000000002</v>
      </c>
      <c r="Z76" s="43">
        <f>ROUND((P74*T76*F74*O74/1000000),4)</f>
        <v>0</v>
      </c>
      <c r="AA76" s="43">
        <f>ROUND((Q74*U76*F74*O74/1000000),4)</f>
        <v>6.1999999999999998E-3</v>
      </c>
      <c r="AB76" s="43">
        <f>ROUND((R74*V76*F74*O74/1000000),4)</f>
        <v>6.7999999999999996E-3</v>
      </c>
      <c r="AC76" s="44" t="s">
        <v>167</v>
      </c>
      <c r="AD76" s="45" t="s">
        <v>115</v>
      </c>
      <c r="AE76" s="30">
        <f>ROUND((((X76*E74)/1800)),4)</f>
        <v>9.2999999999999992E-3</v>
      </c>
      <c r="AF76" s="30">
        <f>ROUND(((Z76+AA76+AB76)),5)</f>
        <v>1.2999999999999999E-2</v>
      </c>
      <c r="AG76" s="50"/>
      <c r="AH76" s="50"/>
      <c r="AI76" s="1"/>
      <c r="AJ76" s="1"/>
    </row>
    <row r="77" spans="1:36" ht="12.95" customHeight="1" x14ac:dyDescent="0.25">
      <c r="A77" s="36"/>
      <c r="C77" s="36"/>
      <c r="D77" s="36"/>
      <c r="E77" s="36"/>
      <c r="F77" s="36"/>
      <c r="G77" s="36"/>
      <c r="H77" s="36"/>
      <c r="I77" s="36"/>
      <c r="J77" s="36"/>
      <c r="K77" s="36"/>
      <c r="L77" s="40">
        <v>1.1399999999999999</v>
      </c>
      <c r="M77" s="40">
        <v>1.37</v>
      </c>
      <c r="N77" s="36"/>
      <c r="O77" s="36"/>
      <c r="P77" s="36"/>
      <c r="Q77" s="36"/>
      <c r="R77" s="36"/>
      <c r="S77" s="49">
        <v>0.79</v>
      </c>
      <c r="T77" s="33">
        <f>ROUND((L77*I74+1.3*L77*K74+S77*H74),4)</f>
        <v>431.29500000000002</v>
      </c>
      <c r="U77" s="33">
        <f>ROUND((M77*0.9*I74+1.3*M77*0.9*K74+S77*H74),4)</f>
        <v>462.61279999999999</v>
      </c>
      <c r="V77" s="33">
        <f>ROUND((M77*I74+1.3*M77*K74+S77*H74),4)</f>
        <v>508.7475</v>
      </c>
      <c r="W77" s="33">
        <f>ROUND((L77*J74+1.3*L77*N74+S77*G74),4)</f>
        <v>35.520000000000003</v>
      </c>
      <c r="X77" s="33">
        <f>ROUND((M77*0.9*J74+1.3*M77*0.9*N74+S77*G74),4)</f>
        <v>38.030999999999999</v>
      </c>
      <c r="Y77" s="33">
        <f>ROUND((M77*J74+1.3*N74+S77*G74),4)</f>
        <v>36.92</v>
      </c>
      <c r="Z77" s="43">
        <f>ROUND((P74*T77*F74*O74/1000000),4)</f>
        <v>0</v>
      </c>
      <c r="AA77" s="43">
        <f>ROUND((Q74*U77*F74*O74/1000000),4)</f>
        <v>1.3899999999999999E-2</v>
      </c>
      <c r="AB77" s="43">
        <f>ROUND((R74*V77*F74*O74/1000000),4)</f>
        <v>1.5299999999999999E-2</v>
      </c>
      <c r="AC77" s="44" t="s">
        <v>168</v>
      </c>
      <c r="AD77" s="45" t="s">
        <v>169</v>
      </c>
      <c r="AE77" s="30">
        <f>ROUND((((X77*E74)/1800)),4)</f>
        <v>2.1100000000000001E-2</v>
      </c>
      <c r="AF77" s="30">
        <f>ROUND(((Z77+AA77+AB77)),4)</f>
        <v>2.92E-2</v>
      </c>
      <c r="AG77" s="50"/>
      <c r="AH77" s="50"/>
      <c r="AI77" s="1"/>
      <c r="AJ77" s="1"/>
    </row>
    <row r="78" spans="1:36" ht="12.95" customHeight="1" x14ac:dyDescent="0.25">
      <c r="A78" s="36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40">
        <v>0.72</v>
      </c>
      <c r="M78" s="40">
        <v>1.08</v>
      </c>
      <c r="N78" s="36"/>
      <c r="O78" s="36"/>
      <c r="P78" s="36"/>
      <c r="Q78" s="36"/>
      <c r="R78" s="36"/>
      <c r="S78" s="49">
        <v>0.17</v>
      </c>
      <c r="T78" s="33">
        <f>ROUND((L78*I74+1.3*L78*K74+S78*H74),4)</f>
        <v>252.66</v>
      </c>
      <c r="U78" s="33">
        <f>ROUND((M78*0.9*I74+1.3*M78*0.9*K74+S78*H74),4)</f>
        <v>337.52100000000002</v>
      </c>
      <c r="V78" s="33">
        <f>ROUND((M78*I74+1.3*M78*K74+S78*H74),4)</f>
        <v>373.89</v>
      </c>
      <c r="W78" s="33">
        <f>ROUND((L78*J74+1.3*L78*N74+S78*G74),4)</f>
        <v>20.46</v>
      </c>
      <c r="X78" s="33">
        <f>ROUND((M78*0.9*J74+1.3*M78*0.9*N74+S78*G74),4)</f>
        <v>27.263999999999999</v>
      </c>
      <c r="Y78" s="33">
        <f>ROUND((M78*J74+1.3*M78*N74+S78*G74),4)</f>
        <v>30.18</v>
      </c>
      <c r="Z78" s="43">
        <f>ROUND((P74*T78*F74*O74/1000000),4)</f>
        <v>0</v>
      </c>
      <c r="AA78" s="43">
        <f>ROUND((Q74*U78*F74*O74/1000000),4)</f>
        <v>1.01E-2</v>
      </c>
      <c r="AB78" s="43">
        <f>ROUND((R74*V78*F74*O74/1000000),4)</f>
        <v>1.12E-2</v>
      </c>
      <c r="AC78" s="44" t="s">
        <v>170</v>
      </c>
      <c r="AD78" s="45" t="s">
        <v>119</v>
      </c>
      <c r="AE78" s="30">
        <f>ROUND((((X78*E74)/1800)),4)</f>
        <v>1.5100000000000001E-2</v>
      </c>
      <c r="AF78" s="30">
        <f>ROUND(((Z78+AA78+AB78)),4)</f>
        <v>2.1299999999999999E-2</v>
      </c>
      <c r="AG78" s="50"/>
      <c r="AH78" s="50"/>
      <c r="AI78" s="1"/>
      <c r="AJ78" s="1"/>
    </row>
    <row r="79" spans="1:36" ht="12.95" customHeight="1" x14ac:dyDescent="0.25">
      <c r="A79" s="36"/>
      <c r="B79" s="41"/>
      <c r="C79" s="37"/>
      <c r="D79" s="37"/>
      <c r="E79" s="37"/>
      <c r="F79" s="37"/>
      <c r="G79" s="37"/>
      <c r="H79" s="37"/>
      <c r="I79" s="37"/>
      <c r="J79" s="37"/>
      <c r="K79" s="37"/>
      <c r="L79" s="40">
        <v>3.37</v>
      </c>
      <c r="M79" s="40">
        <v>4.1100000000000003</v>
      </c>
      <c r="N79" s="37"/>
      <c r="O79" s="37"/>
      <c r="P79" s="37"/>
      <c r="Q79" s="37"/>
      <c r="R79" s="37"/>
      <c r="S79" s="49">
        <v>6.31</v>
      </c>
      <c r="T79" s="33">
        <f>ROUND((L79*I74+1.3*L79*K74+S79*H74),4)</f>
        <v>1513.4475</v>
      </c>
      <c r="U79" s="33">
        <f>ROUND((M79*0.9*I74+1.3*M79*0.9*K74+S79*H74),4)</f>
        <v>1624.2383</v>
      </c>
      <c r="V79" s="33">
        <f>ROUND((M79*I74+1.3*M79*K74+S79*H74),4)</f>
        <v>1762.6424999999999</v>
      </c>
      <c r="W79" s="33">
        <f>ROUND((L79*J74+1.3*L79*N74+S79*G74),4)</f>
        <v>128.85</v>
      </c>
      <c r="X79" s="33">
        <f>ROUND((M79*0.9*J74+1.3*M79*0.9*N74+S79*G74),4)</f>
        <v>137.733</v>
      </c>
      <c r="Y79" s="33">
        <f>ROUND((M79*J74+1.3*M79*N74+S79*G74),4)</f>
        <v>148.83000000000001</v>
      </c>
      <c r="Z79" s="43">
        <f>ROUND((P74*T79*F74*O74/1000000),4)</f>
        <v>0</v>
      </c>
      <c r="AA79" s="43">
        <f>ROUND((Q74*U79*F74*O74/1000000),4)</f>
        <v>4.87E-2</v>
      </c>
      <c r="AB79" s="43">
        <f>ROUND((R74*V79*F74*O74/1000000),4)</f>
        <v>5.2900000000000003E-2</v>
      </c>
      <c r="AC79" s="44" t="s">
        <v>171</v>
      </c>
      <c r="AD79" s="45" t="s">
        <v>104</v>
      </c>
      <c r="AE79" s="30">
        <f>ROUND((((X79*E74)/1800)),4)</f>
        <v>7.6499999999999999E-2</v>
      </c>
      <c r="AF79" s="30">
        <f>ROUND(((Z79+AA79+AB79)),4)</f>
        <v>0.1016</v>
      </c>
      <c r="AG79" s="50"/>
      <c r="AH79" s="50"/>
      <c r="AI79" s="1"/>
      <c r="AJ79" s="1"/>
    </row>
    <row r="80" spans="1:36" ht="12.95" customHeight="1" x14ac:dyDescent="0.25">
      <c r="A80" s="23"/>
      <c r="B80" s="50" t="s">
        <v>177</v>
      </c>
      <c r="C80" s="31">
        <v>7</v>
      </c>
      <c r="D80" s="32" t="s">
        <v>179</v>
      </c>
      <c r="E80" s="32">
        <v>1</v>
      </c>
      <c r="F80" s="32">
        <v>1</v>
      </c>
      <c r="G80" s="32">
        <v>6</v>
      </c>
      <c r="H80" s="32">
        <v>60</v>
      </c>
      <c r="I80" s="32">
        <f>(8-1-0.75*2)*60*F80-K80-8*0.12*60</f>
        <v>57.900000000000006</v>
      </c>
      <c r="J80" s="32">
        <v>14</v>
      </c>
      <c r="K80" s="32">
        <f>(8-1-0.75*2)*0.65*60*F80</f>
        <v>214.5</v>
      </c>
      <c r="L80" s="33">
        <v>10.16</v>
      </c>
      <c r="M80" s="33">
        <v>10.16</v>
      </c>
      <c r="N80" s="32">
        <v>10</v>
      </c>
      <c r="O80" s="32">
        <f>E80/F80</f>
        <v>1</v>
      </c>
      <c r="P80" s="32">
        <v>0</v>
      </c>
      <c r="Q80" s="32">
        <v>30</v>
      </c>
      <c r="R80" s="42">
        <v>30</v>
      </c>
      <c r="S80" s="42">
        <v>1.99</v>
      </c>
      <c r="T80" s="33">
        <f>ROUND((L80*I80+1.3*L80*K80+S80*H80),4)</f>
        <v>3540.78</v>
      </c>
      <c r="U80" s="33">
        <f>ROUND((M80*I80+1.3*M80*K80+S80*H80),4)</f>
        <v>3540.78</v>
      </c>
      <c r="V80" s="33">
        <f>ROUND((M80*I80+1.3*M80*K80+S80*H80),4)</f>
        <v>3540.78</v>
      </c>
      <c r="W80" s="33">
        <f>ROUND((L80*J80+1.3*L80*N80+S80*G80),4)</f>
        <v>286.26</v>
      </c>
      <c r="X80" s="33">
        <f>ROUND((M80*J80+1.3*M80*N80+S80*G80),4)</f>
        <v>286.26</v>
      </c>
      <c r="Y80" s="33">
        <f>ROUND((M80*J80+1.3*M80*N80+S80*G80),4)</f>
        <v>286.26</v>
      </c>
      <c r="Z80" s="43">
        <f>ROUND((P80*T80*F80*O80/1000000),4)</f>
        <v>0</v>
      </c>
      <c r="AA80" s="43">
        <f>ROUND((Q80*U80*F80*O80/1000000),4)</f>
        <v>0.1062</v>
      </c>
      <c r="AB80" s="43">
        <f>ROUND((R80*V80*F80*O80/1000000),4)</f>
        <v>0.1062</v>
      </c>
      <c r="AC80" s="44" t="s">
        <v>111</v>
      </c>
      <c r="AD80" s="45" t="s">
        <v>95</v>
      </c>
      <c r="AE80" s="30">
        <f>ROUND((((X80*E80)/1800)*0.8),4)</f>
        <v>0.12720000000000001</v>
      </c>
      <c r="AF80" s="30">
        <f>ROUND(((Z80+AA80+AB80)*0.8),4)</f>
        <v>0.1699</v>
      </c>
      <c r="AG80" s="50"/>
      <c r="AH80" s="50"/>
      <c r="AI80" s="1"/>
      <c r="AJ80" s="1"/>
    </row>
    <row r="81" spans="1:36" ht="12.95" customHeight="1" x14ac:dyDescent="0.25">
      <c r="A81" s="23"/>
      <c r="B81" s="35" t="s">
        <v>180</v>
      </c>
      <c r="C81" s="36"/>
      <c r="D81" s="36"/>
      <c r="E81" s="36"/>
      <c r="F81" s="36"/>
      <c r="G81" s="36"/>
      <c r="H81" s="36"/>
      <c r="I81" s="36"/>
      <c r="J81" s="36"/>
      <c r="K81" s="36"/>
      <c r="L81" s="37"/>
      <c r="M81" s="37"/>
      <c r="N81" s="36"/>
      <c r="O81" s="36"/>
      <c r="P81" s="36"/>
      <c r="Q81" s="36"/>
      <c r="R81" s="36"/>
      <c r="S81" s="46"/>
      <c r="T81" s="47"/>
      <c r="U81" s="47"/>
      <c r="V81" s="47"/>
      <c r="W81" s="47"/>
      <c r="X81" s="47"/>
      <c r="Y81" s="47"/>
      <c r="Z81" s="47"/>
      <c r="AA81" s="47"/>
      <c r="AB81" s="47"/>
      <c r="AC81" s="44" t="s">
        <v>112</v>
      </c>
      <c r="AD81" s="45" t="s">
        <v>113</v>
      </c>
      <c r="AE81" s="30">
        <f>ROUND((((X80*E80)/1800)*0.13),4)</f>
        <v>2.07E-2</v>
      </c>
      <c r="AF81" s="30">
        <f>ROUND(((Z80+AA80+AB80)*0.13),4)</f>
        <v>2.76E-2</v>
      </c>
      <c r="AG81" s="50"/>
      <c r="AH81" s="50"/>
      <c r="AI81" s="1"/>
      <c r="AJ81" s="1"/>
    </row>
    <row r="82" spans="1:36" ht="12.95" customHeight="1" x14ac:dyDescent="0.25">
      <c r="A82" s="23"/>
      <c r="C82" s="39"/>
      <c r="D82" s="39"/>
      <c r="E82" s="36"/>
      <c r="F82" s="36"/>
      <c r="G82" s="36"/>
      <c r="H82" s="36"/>
      <c r="I82" s="36"/>
      <c r="J82" s="36"/>
      <c r="K82" s="36"/>
      <c r="L82" s="40">
        <v>0.8</v>
      </c>
      <c r="M82" s="40">
        <v>0.98</v>
      </c>
      <c r="N82" s="36"/>
      <c r="O82" s="36"/>
      <c r="P82" s="36"/>
      <c r="Q82" s="36"/>
      <c r="R82" s="36"/>
      <c r="S82" s="48">
        <v>0.39</v>
      </c>
      <c r="T82" s="33">
        <f>ROUND((L82*I80+1.3*L82*K80+S82*H80),4)</f>
        <v>292.8</v>
      </c>
      <c r="U82" s="33">
        <f>ROUND((M82*0.9*I80+1.3*M82*0.9*K80+S82*H80),4)</f>
        <v>320.4135</v>
      </c>
      <c r="V82" s="33">
        <f>ROUND((M82*I80+1.3*M82*K80+S82*H80),4)</f>
        <v>353.41500000000002</v>
      </c>
      <c r="W82" s="33">
        <f>ROUND((L82*J80+1.3*L82*N80+S82*G80),4)</f>
        <v>23.94</v>
      </c>
      <c r="X82" s="33">
        <f>ROUND((M82*0.9*J80+1.3*M82*0.9*N80+S82*G80),4)</f>
        <v>26.154</v>
      </c>
      <c r="Y82" s="33">
        <f>ROUND((M82*J80+1.3*M82*N80+S82*G80),4)</f>
        <v>28.8</v>
      </c>
      <c r="Z82" s="43">
        <f>ROUND((P80*T82*F80*O80/1000000),4)</f>
        <v>0</v>
      </c>
      <c r="AA82" s="43">
        <f>ROUND((Q80*U82*F80*O80/1000000),4)</f>
        <v>9.5999999999999992E-3</v>
      </c>
      <c r="AB82" s="43">
        <f>ROUND((R80*V82*F80*O80/1000000),4)</f>
        <v>1.06E-2</v>
      </c>
      <c r="AC82" s="44" t="s">
        <v>167</v>
      </c>
      <c r="AD82" s="45" t="s">
        <v>115</v>
      </c>
      <c r="AE82" s="30">
        <f>ROUND((((X82*E80)/1800)),4)</f>
        <v>1.4500000000000001E-2</v>
      </c>
      <c r="AF82" s="30">
        <f>ROUND(((Z82+AA82+AB82)),5)</f>
        <v>2.0199999999999999E-2</v>
      </c>
      <c r="AG82" s="50"/>
      <c r="AH82" s="50"/>
      <c r="AI82" s="1"/>
      <c r="AJ82" s="1"/>
    </row>
    <row r="83" spans="1:36" ht="12.95" customHeight="1" x14ac:dyDescent="0.25">
      <c r="A83" s="23"/>
      <c r="C83" s="36"/>
      <c r="D83" s="36"/>
      <c r="E83" s="36"/>
      <c r="F83" s="36"/>
      <c r="G83" s="36"/>
      <c r="H83" s="36"/>
      <c r="I83" s="36"/>
      <c r="J83" s="36"/>
      <c r="K83" s="36"/>
      <c r="L83" s="40">
        <v>1.79</v>
      </c>
      <c r="M83" s="40">
        <v>2.15</v>
      </c>
      <c r="N83" s="36"/>
      <c r="O83" s="36"/>
      <c r="P83" s="36"/>
      <c r="Q83" s="36"/>
      <c r="R83" s="36"/>
      <c r="S83" s="49">
        <v>1.24</v>
      </c>
      <c r="T83" s="33">
        <f>ROUND((L83*I80+1.3*L83*K80+S83*H80),4)</f>
        <v>677.1825</v>
      </c>
      <c r="U83" s="33">
        <f>ROUND((M83*0.9*I80+1.3*M83*0.9*K80+S83*H80),4)</f>
        <v>726.01130000000001</v>
      </c>
      <c r="V83" s="33">
        <f>ROUND((M83*I80+1.3*M83*K80+S83*H80),4)</f>
        <v>798.41250000000002</v>
      </c>
      <c r="W83" s="33">
        <f>ROUND((L83*J80+1.3*L83*N80+S83*G80),4)</f>
        <v>55.77</v>
      </c>
      <c r="X83" s="33">
        <f>ROUND((M83*0.9*J80+1.3*M83*0.9*N80+S83*G80),4)</f>
        <v>59.685000000000002</v>
      </c>
      <c r="Y83" s="33">
        <f>ROUND((M83*J80+1.3*N80+S83*G80),4)</f>
        <v>50.54</v>
      </c>
      <c r="Z83" s="43">
        <f>ROUND((P80*T83*F80*O80/1000000),4)</f>
        <v>0</v>
      </c>
      <c r="AA83" s="43">
        <f>ROUND((Q80*U83*F80*O80/1000000),4)</f>
        <v>2.18E-2</v>
      </c>
      <c r="AB83" s="43">
        <f>ROUND((R80*V83*F80*O80/1000000),4)</f>
        <v>2.4E-2</v>
      </c>
      <c r="AC83" s="44" t="s">
        <v>168</v>
      </c>
      <c r="AD83" s="45" t="s">
        <v>169</v>
      </c>
      <c r="AE83" s="30">
        <f>ROUND((((X83*E80)/1800)),4)</f>
        <v>3.32E-2</v>
      </c>
      <c r="AF83" s="30">
        <f>ROUND(((Z83+AA83+AB83)),4)</f>
        <v>4.58E-2</v>
      </c>
      <c r="AG83" s="50"/>
      <c r="AH83" s="50"/>
      <c r="AI83" s="1"/>
      <c r="AJ83" s="1"/>
    </row>
    <row r="84" spans="1:36" ht="12.95" customHeight="1" x14ac:dyDescent="0.25">
      <c r="A84" s="23"/>
      <c r="B84" s="35"/>
      <c r="C84" s="36"/>
      <c r="D84" s="36"/>
      <c r="E84" s="36"/>
      <c r="F84" s="36"/>
      <c r="G84" s="36"/>
      <c r="H84" s="36"/>
      <c r="I84" s="36"/>
      <c r="J84" s="36"/>
      <c r="K84" s="36"/>
      <c r="L84" s="40">
        <v>1.1299999999999999</v>
      </c>
      <c r="M84" s="40">
        <v>1.7</v>
      </c>
      <c r="N84" s="36"/>
      <c r="O84" s="36"/>
      <c r="P84" s="36"/>
      <c r="Q84" s="36"/>
      <c r="R84" s="36"/>
      <c r="S84" s="49">
        <v>0.26</v>
      </c>
      <c r="T84" s="33">
        <f>ROUND((L84*I80+1.3*L84*K80+S84*H80),4)</f>
        <v>396.1275</v>
      </c>
      <c r="U84" s="33">
        <f>ROUND((M84*0.9*I80+1.3*M84*0.9*K80+S84*H80),4)</f>
        <v>530.82749999999999</v>
      </c>
      <c r="V84" s="33">
        <f>ROUND((M84*I80+1.3*M84*K80+S84*H80),4)</f>
        <v>588.07500000000005</v>
      </c>
      <c r="W84" s="33">
        <f>ROUND((L84*J80+1.3*L84*N80+S84*G80),4)</f>
        <v>32.07</v>
      </c>
      <c r="X84" s="33">
        <f>ROUND((M84*0.9*J80+1.3*M84*0.9*N80+S84*G80),4)</f>
        <v>42.87</v>
      </c>
      <c r="Y84" s="33">
        <f>ROUND((M84*J80+1.3*M84*N80+S84*G80),4)</f>
        <v>47.46</v>
      </c>
      <c r="Z84" s="43">
        <f>ROUND((P80*T84*F80*O80/1000000),4)</f>
        <v>0</v>
      </c>
      <c r="AA84" s="43">
        <f>ROUND((Q80*U84*F80*O80/1000000),4)</f>
        <v>1.5900000000000001E-2</v>
      </c>
      <c r="AB84" s="43">
        <f>ROUND((R80*V84*F80*O80/1000000),4)</f>
        <v>1.7600000000000001E-2</v>
      </c>
      <c r="AC84" s="44" t="s">
        <v>170</v>
      </c>
      <c r="AD84" s="45" t="s">
        <v>119</v>
      </c>
      <c r="AE84" s="30">
        <f>ROUND((((X84*E80)/1800)),4)</f>
        <v>2.3800000000000002E-2</v>
      </c>
      <c r="AF84" s="30">
        <f>ROUND(((Z84+AA84+AB84)),4)</f>
        <v>3.3500000000000002E-2</v>
      </c>
      <c r="AG84" s="50"/>
      <c r="AH84" s="50"/>
      <c r="AI84" s="1"/>
      <c r="AJ84" s="1"/>
    </row>
    <row r="85" spans="1:36" ht="12.95" customHeight="1" x14ac:dyDescent="0.25">
      <c r="A85" s="23"/>
      <c r="B85" s="41"/>
      <c r="C85" s="37"/>
      <c r="D85" s="37"/>
      <c r="E85" s="37"/>
      <c r="F85" s="37"/>
      <c r="G85" s="37"/>
      <c r="H85" s="37"/>
      <c r="I85" s="37"/>
      <c r="J85" s="37"/>
      <c r="K85" s="37"/>
      <c r="L85" s="40">
        <v>5.3</v>
      </c>
      <c r="M85" s="40">
        <v>6.47</v>
      </c>
      <c r="N85" s="37"/>
      <c r="O85" s="37"/>
      <c r="P85" s="37"/>
      <c r="Q85" s="37"/>
      <c r="R85" s="37"/>
      <c r="S85" s="49">
        <v>9.92</v>
      </c>
      <c r="T85" s="33">
        <f>ROUND((L85*I80+1.3*L85*K80+S85*H80),4)</f>
        <v>2379.9749999999999</v>
      </c>
      <c r="U85" s="33">
        <f>ROUND((M85*0.9*I80+1.3*M85*0.9*K80+S85*H80),4)</f>
        <v>2556.0953</v>
      </c>
      <c r="V85" s="33">
        <f>ROUND((M85*I80+1.3*M85*K80+S85*H80),4)</f>
        <v>2773.9724999999999</v>
      </c>
      <c r="W85" s="33">
        <f>ROUND((L85*J80+1.3*L85*N80+S85*G80),4)</f>
        <v>202.62</v>
      </c>
      <c r="X85" s="33">
        <f>ROUND((M85*0.9*J80+1.3*M85*0.9*N80+S85*G80),4)</f>
        <v>216.74100000000001</v>
      </c>
      <c r="Y85" s="33">
        <f>ROUND((M85*J80+1.3*M85*N80+S85*G80),4)</f>
        <v>234.21</v>
      </c>
      <c r="Z85" s="43">
        <f>ROUND((P80*T85*F80*O80/1000000),4)</f>
        <v>0</v>
      </c>
      <c r="AA85" s="43">
        <f>ROUND((Q80*U85*F80*O80/1000000),4)</f>
        <v>7.6700000000000004E-2</v>
      </c>
      <c r="AB85" s="43">
        <f>ROUND((R80*V85*F80*O80/1000000),4)</f>
        <v>8.3199999999999996E-2</v>
      </c>
      <c r="AC85" s="44" t="s">
        <v>171</v>
      </c>
      <c r="AD85" s="45" t="s">
        <v>104</v>
      </c>
      <c r="AE85" s="30">
        <f>ROUND((((X85*E80)/1800)),4)</f>
        <v>0.12039999999999999</v>
      </c>
      <c r="AF85" s="30">
        <f>ROUND(((Z85+AA85+AB85)),4)</f>
        <v>0.15989999999999999</v>
      </c>
      <c r="AG85" s="50"/>
      <c r="AH85" s="50"/>
      <c r="AI85" s="1"/>
      <c r="AJ85" s="1"/>
    </row>
    <row r="86" spans="1:36" ht="12.95" customHeight="1" x14ac:dyDescent="0.25">
      <c r="A86" s="22"/>
      <c r="B86" s="50" t="s">
        <v>181</v>
      </c>
      <c r="C86" s="31">
        <v>7</v>
      </c>
      <c r="D86" s="32" t="s">
        <v>179</v>
      </c>
      <c r="E86" s="32">
        <v>1</v>
      </c>
      <c r="F86" s="32">
        <v>1</v>
      </c>
      <c r="G86" s="32">
        <v>6</v>
      </c>
      <c r="H86" s="32">
        <v>60</v>
      </c>
      <c r="I86" s="32">
        <f>(8-1-0.75*2)*60*F86-K86-8*0.12*60</f>
        <v>57.900000000000006</v>
      </c>
      <c r="J86" s="32">
        <v>14</v>
      </c>
      <c r="K86" s="32">
        <f>(8-1-0.75*2)*0.65*60*F86</f>
        <v>214.5</v>
      </c>
      <c r="L86" s="33">
        <v>10.16</v>
      </c>
      <c r="M86" s="33">
        <v>10.16</v>
      </c>
      <c r="N86" s="32">
        <v>10</v>
      </c>
      <c r="O86" s="32">
        <f>E86/F86</f>
        <v>1</v>
      </c>
      <c r="P86" s="32">
        <v>0</v>
      </c>
      <c r="Q86" s="32">
        <v>60</v>
      </c>
      <c r="R86" s="42">
        <v>30</v>
      </c>
      <c r="S86" s="42">
        <v>1.99</v>
      </c>
      <c r="T86" s="33">
        <f>ROUND((L86*I86+1.3*L86*K86+S86*H86),4)</f>
        <v>3540.78</v>
      </c>
      <c r="U86" s="33">
        <f>ROUND((M86*I86+1.3*M86*K86+S86*H86),4)</f>
        <v>3540.78</v>
      </c>
      <c r="V86" s="33">
        <f>ROUND((M86*I86+1.3*M86*K86+S86*H86),4)</f>
        <v>3540.78</v>
      </c>
      <c r="W86" s="33">
        <f>ROUND((L86*J86+1.3*L86*N86+S86*G86),4)</f>
        <v>286.26</v>
      </c>
      <c r="X86" s="33">
        <f>ROUND((M86*J86+1.3*M86*N86+S86*G86),4)</f>
        <v>286.26</v>
      </c>
      <c r="Y86" s="33">
        <f>ROUND((M86*J86+1.3*M86*N86+S86*G86),4)</f>
        <v>286.26</v>
      </c>
      <c r="Z86" s="43">
        <f>ROUND((P86*T86*F86*O86/1000000),4)</f>
        <v>0</v>
      </c>
      <c r="AA86" s="43">
        <f>ROUND((Q86*U86*F86*O86/1000000),4)</f>
        <v>0.21240000000000001</v>
      </c>
      <c r="AB86" s="43">
        <f>ROUND((R86*V86*F86*O86/1000000),4)</f>
        <v>0.1062</v>
      </c>
      <c r="AC86" s="44" t="s">
        <v>111</v>
      </c>
      <c r="AD86" s="45" t="s">
        <v>95</v>
      </c>
      <c r="AE86" s="30">
        <f>ROUND((((X86*E86)/1800)*0.8),4)</f>
        <v>0.12720000000000001</v>
      </c>
      <c r="AF86" s="30">
        <f>ROUND(((Z86+AA86+AB86)*0.8),4)</f>
        <v>0.25490000000000002</v>
      </c>
      <c r="AG86" s="50"/>
      <c r="AH86" s="50"/>
      <c r="AI86" s="2"/>
      <c r="AJ86" s="2"/>
    </row>
    <row r="87" spans="1:36" ht="12.95" customHeight="1" x14ac:dyDescent="0.25">
      <c r="A87" s="22"/>
      <c r="B87" s="35" t="s">
        <v>182</v>
      </c>
      <c r="C87" s="36"/>
      <c r="D87" s="36"/>
      <c r="E87" s="36"/>
      <c r="F87" s="36"/>
      <c r="G87" s="36"/>
      <c r="H87" s="36"/>
      <c r="I87" s="36"/>
      <c r="J87" s="36"/>
      <c r="K87" s="36"/>
      <c r="L87" s="37"/>
      <c r="M87" s="37"/>
      <c r="N87" s="36"/>
      <c r="O87" s="36"/>
      <c r="P87" s="36"/>
      <c r="Q87" s="36"/>
      <c r="R87" s="36"/>
      <c r="S87" s="46"/>
      <c r="T87" s="47"/>
      <c r="U87" s="47"/>
      <c r="V87" s="47"/>
      <c r="W87" s="47"/>
      <c r="X87" s="47"/>
      <c r="Y87" s="47"/>
      <c r="Z87" s="47"/>
      <c r="AA87" s="47"/>
      <c r="AB87" s="47"/>
      <c r="AC87" s="44" t="s">
        <v>112</v>
      </c>
      <c r="AD87" s="45" t="s">
        <v>113</v>
      </c>
      <c r="AE87" s="30">
        <f>ROUND((((X86*E86)/1800)*0.13),4)</f>
        <v>2.07E-2</v>
      </c>
      <c r="AF87" s="30">
        <f>ROUND(((Z86+AA86+AB86)*0.13),4)</f>
        <v>4.1399999999999999E-2</v>
      </c>
      <c r="AG87" s="50"/>
      <c r="AH87" s="50"/>
      <c r="AI87" s="2"/>
      <c r="AJ87" s="2"/>
    </row>
    <row r="88" spans="1:36" ht="12.95" customHeight="1" x14ac:dyDescent="0.25">
      <c r="A88" s="22"/>
      <c r="C88" s="39"/>
      <c r="D88" s="39"/>
      <c r="E88" s="36"/>
      <c r="F88" s="36"/>
      <c r="G88" s="36"/>
      <c r="H88" s="36"/>
      <c r="I88" s="36"/>
      <c r="J88" s="36"/>
      <c r="K88" s="36"/>
      <c r="L88" s="40">
        <v>0.8</v>
      </c>
      <c r="M88" s="40">
        <v>0.98</v>
      </c>
      <c r="N88" s="36"/>
      <c r="O88" s="36"/>
      <c r="P88" s="36"/>
      <c r="Q88" s="36"/>
      <c r="R88" s="36"/>
      <c r="S88" s="48">
        <v>0.39</v>
      </c>
      <c r="T88" s="33">
        <f>ROUND((L88*I86+1.3*L88*K86+S88*H86),4)</f>
        <v>292.8</v>
      </c>
      <c r="U88" s="33">
        <f>ROUND((M88*0.9*I86+1.3*M88*0.9*K86+S88*H86),4)</f>
        <v>320.4135</v>
      </c>
      <c r="V88" s="33">
        <f>ROUND((M88*I86+1.3*M88*K86+S88*H86),4)</f>
        <v>353.41500000000002</v>
      </c>
      <c r="W88" s="33">
        <f>ROUND((L88*J86+1.3*L88*N86+S88*G86),4)</f>
        <v>23.94</v>
      </c>
      <c r="X88" s="33">
        <f>ROUND((M88*0.9*J86+1.3*M88*0.9*N86+S88*G86),4)</f>
        <v>26.154</v>
      </c>
      <c r="Y88" s="33">
        <f>ROUND((M88*J86+1.3*M88*N86+S88*G86),4)</f>
        <v>28.8</v>
      </c>
      <c r="Z88" s="43">
        <f>ROUND((P86*T88*F86*O86/1000000),4)</f>
        <v>0</v>
      </c>
      <c r="AA88" s="43">
        <f>ROUND((Q86*U88*F86*O86/1000000),4)</f>
        <v>1.9199999999999998E-2</v>
      </c>
      <c r="AB88" s="43">
        <f>ROUND((R86*V88*F86*O86/1000000),4)</f>
        <v>1.06E-2</v>
      </c>
      <c r="AC88" s="44" t="s">
        <v>167</v>
      </c>
      <c r="AD88" s="45" t="s">
        <v>115</v>
      </c>
      <c r="AE88" s="30">
        <f>ROUND((((X88*E86)/1800)),4)</f>
        <v>1.4500000000000001E-2</v>
      </c>
      <c r="AF88" s="30">
        <f>ROUND(((Z88+AA88+AB88)),5)</f>
        <v>2.98E-2</v>
      </c>
      <c r="AG88" s="50"/>
      <c r="AH88" s="50"/>
      <c r="AI88" s="2"/>
      <c r="AJ88" s="2"/>
    </row>
    <row r="89" spans="1:36" ht="12.95" customHeight="1" x14ac:dyDescent="0.25">
      <c r="A89" s="22"/>
      <c r="C89" s="36"/>
      <c r="D89" s="36"/>
      <c r="E89" s="36"/>
      <c r="F89" s="36"/>
      <c r="G89" s="36"/>
      <c r="H89" s="36"/>
      <c r="I89" s="36"/>
      <c r="J89" s="36"/>
      <c r="K89" s="36"/>
      <c r="L89" s="40">
        <v>1.79</v>
      </c>
      <c r="M89" s="40">
        <v>2.15</v>
      </c>
      <c r="N89" s="36"/>
      <c r="O89" s="36"/>
      <c r="P89" s="36"/>
      <c r="Q89" s="36"/>
      <c r="R89" s="36"/>
      <c r="S89" s="49">
        <v>1.24</v>
      </c>
      <c r="T89" s="33">
        <f>ROUND((L89*I86+1.3*L89*K86+S89*H86),4)</f>
        <v>677.1825</v>
      </c>
      <c r="U89" s="33">
        <f>ROUND((M89*0.9*I86+1.3*M89*0.9*K86+S89*H86),4)</f>
        <v>726.01130000000001</v>
      </c>
      <c r="V89" s="33">
        <f>ROUND((M89*I86+1.3*M89*K86+S89*H86),4)</f>
        <v>798.41250000000002</v>
      </c>
      <c r="W89" s="33">
        <f>ROUND((L89*J86+1.3*L89*N86+S89*G86),4)</f>
        <v>55.77</v>
      </c>
      <c r="X89" s="33">
        <f>ROUND((M89*0.9*J86+1.3*M89*0.9*N86+S89*G86),4)</f>
        <v>59.685000000000002</v>
      </c>
      <c r="Y89" s="33">
        <f>ROUND((M89*J86+1.3*N86+S89*G86),4)</f>
        <v>50.54</v>
      </c>
      <c r="Z89" s="43">
        <f>ROUND((P86*T89*F86*O86/1000000),4)</f>
        <v>0</v>
      </c>
      <c r="AA89" s="43">
        <f>ROUND((Q86*U89*F86*O86/1000000),4)</f>
        <v>4.36E-2</v>
      </c>
      <c r="AB89" s="43">
        <f>ROUND((R86*V89*F86*O86/1000000),4)</f>
        <v>2.4E-2</v>
      </c>
      <c r="AC89" s="44" t="s">
        <v>168</v>
      </c>
      <c r="AD89" s="45" t="s">
        <v>169</v>
      </c>
      <c r="AE89" s="30">
        <f>ROUND((((X89*E86)/1800)),4)</f>
        <v>3.32E-2</v>
      </c>
      <c r="AF89" s="30">
        <f>ROUND(((Z89+AA89+AB89)),4)</f>
        <v>6.7599999999999993E-2</v>
      </c>
      <c r="AG89" s="50"/>
      <c r="AH89" s="50"/>
      <c r="AI89" s="2"/>
      <c r="AJ89" s="2"/>
    </row>
    <row r="90" spans="1:36" ht="12.95" customHeight="1" x14ac:dyDescent="0.25">
      <c r="A90" s="22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40">
        <v>1.1299999999999999</v>
      </c>
      <c r="M90" s="40">
        <v>1.7</v>
      </c>
      <c r="N90" s="36"/>
      <c r="O90" s="36"/>
      <c r="P90" s="36"/>
      <c r="Q90" s="36"/>
      <c r="R90" s="36"/>
      <c r="S90" s="49">
        <v>0.26</v>
      </c>
      <c r="T90" s="33">
        <f>ROUND((L90*I86+1.3*L90*K86+S90*H86),4)</f>
        <v>396.1275</v>
      </c>
      <c r="U90" s="33">
        <f>ROUND((M90*0.9*I86+1.3*M90*0.9*K86+S90*H86),4)</f>
        <v>530.82749999999999</v>
      </c>
      <c r="V90" s="33">
        <f>ROUND((M90*I86+1.3*M90*K86+S90*H86),4)</f>
        <v>588.07500000000005</v>
      </c>
      <c r="W90" s="33">
        <f>ROUND((L90*J86+1.3*L90*N86+S90*G86),4)</f>
        <v>32.07</v>
      </c>
      <c r="X90" s="33">
        <f>ROUND((M90*0.9*J86+1.3*M90*0.9*N86+S90*G86),4)</f>
        <v>42.87</v>
      </c>
      <c r="Y90" s="33">
        <f>ROUND((M90*J86+1.3*M90*N86+S90*G86),4)</f>
        <v>47.46</v>
      </c>
      <c r="Z90" s="43">
        <f>ROUND((P86*T90*F86*O86/1000000),4)</f>
        <v>0</v>
      </c>
      <c r="AA90" s="43">
        <f>ROUND((Q86*U90*F86*O86/1000000),4)</f>
        <v>3.1800000000000002E-2</v>
      </c>
      <c r="AB90" s="43">
        <f>ROUND((R86*V90*F86*O86/1000000),4)</f>
        <v>1.7600000000000001E-2</v>
      </c>
      <c r="AC90" s="44" t="s">
        <v>170</v>
      </c>
      <c r="AD90" s="45" t="s">
        <v>119</v>
      </c>
      <c r="AE90" s="30">
        <f>ROUND((((X90*E86)/1800)),4)</f>
        <v>2.3800000000000002E-2</v>
      </c>
      <c r="AF90" s="30">
        <f>ROUND(((Z90+AA90+AB90)),4)</f>
        <v>4.9399999999999999E-2</v>
      </c>
      <c r="AG90" s="50"/>
      <c r="AH90" s="50"/>
      <c r="AI90" s="2"/>
      <c r="AJ90" s="2"/>
    </row>
    <row r="91" spans="1:36" ht="12.95" customHeight="1" x14ac:dyDescent="0.25">
      <c r="A91" s="22"/>
      <c r="B91" s="41"/>
      <c r="C91" s="37"/>
      <c r="D91" s="37"/>
      <c r="E91" s="37"/>
      <c r="F91" s="37"/>
      <c r="G91" s="37"/>
      <c r="H91" s="37"/>
      <c r="I91" s="37"/>
      <c r="J91" s="37"/>
      <c r="K91" s="37"/>
      <c r="L91" s="40">
        <v>5.3</v>
      </c>
      <c r="M91" s="40">
        <v>6.47</v>
      </c>
      <c r="N91" s="37"/>
      <c r="O91" s="37"/>
      <c r="P91" s="37"/>
      <c r="Q91" s="37"/>
      <c r="R91" s="37"/>
      <c r="S91" s="49">
        <v>9.92</v>
      </c>
      <c r="T91" s="33">
        <f>ROUND((L91*I86+1.3*L91*K86+S91*H86),4)</f>
        <v>2379.9749999999999</v>
      </c>
      <c r="U91" s="33">
        <f>ROUND((M91*0.9*I86+1.3*M91*0.9*K86+S91*H86),4)</f>
        <v>2556.0953</v>
      </c>
      <c r="V91" s="33">
        <f>ROUND((M91*I86+1.3*M91*K86+S91*H86),4)</f>
        <v>2773.9724999999999</v>
      </c>
      <c r="W91" s="33">
        <f>ROUND((L91*J86+1.3*L91*N86+S91*G86),4)</f>
        <v>202.62</v>
      </c>
      <c r="X91" s="33">
        <f>ROUND((M91*0.9*J86+1.3*M91*0.9*N86+S91*G86),4)</f>
        <v>216.74100000000001</v>
      </c>
      <c r="Y91" s="33">
        <f>ROUND((M91*J86+1.3*M91*N86+S91*G86),4)</f>
        <v>234.21</v>
      </c>
      <c r="Z91" s="43">
        <f>ROUND((P86*T91*F86*O86/1000000),4)</f>
        <v>0</v>
      </c>
      <c r="AA91" s="43">
        <f>ROUND((Q86*U91*F86*O86/1000000),4)</f>
        <v>0.15340000000000001</v>
      </c>
      <c r="AB91" s="43">
        <f>ROUND((R86*V91*F86*O86/1000000),4)</f>
        <v>8.3199999999999996E-2</v>
      </c>
      <c r="AC91" s="44" t="s">
        <v>171</v>
      </c>
      <c r="AD91" s="45" t="s">
        <v>104</v>
      </c>
      <c r="AE91" s="30">
        <f>ROUND((((X91*E86)/1800)),4)</f>
        <v>0.12039999999999999</v>
      </c>
      <c r="AF91" s="30">
        <f>ROUND(((Z91+AA91+AB91)),4)</f>
        <v>0.2366</v>
      </c>
      <c r="AG91" s="50"/>
      <c r="AH91" s="50"/>
      <c r="AI91" s="2"/>
      <c r="AJ91" s="2"/>
    </row>
    <row r="92" spans="1:36" ht="12.95" customHeight="1" x14ac:dyDescent="0.25">
      <c r="A92" s="22"/>
      <c r="B92" s="50" t="s">
        <v>181</v>
      </c>
      <c r="C92" s="31">
        <v>7</v>
      </c>
      <c r="D92" s="32" t="s">
        <v>179</v>
      </c>
      <c r="E92" s="32">
        <v>1</v>
      </c>
      <c r="F92" s="32">
        <v>1</v>
      </c>
      <c r="G92" s="32">
        <v>6</v>
      </c>
      <c r="H92" s="32">
        <v>60</v>
      </c>
      <c r="I92" s="32">
        <f>(8-1-0.75*2)*60*F92-K92-8*0.12*60</f>
        <v>57.900000000000006</v>
      </c>
      <c r="J92" s="32">
        <v>14</v>
      </c>
      <c r="K92" s="32">
        <f>(8-1-0.75*2)*0.65*60*F92</f>
        <v>214.5</v>
      </c>
      <c r="L92" s="33">
        <v>10.16</v>
      </c>
      <c r="M92" s="33">
        <v>10.16</v>
      </c>
      <c r="N92" s="32">
        <v>10</v>
      </c>
      <c r="O92" s="32">
        <f>E92/F92</f>
        <v>1</v>
      </c>
      <c r="P92" s="32">
        <v>0</v>
      </c>
      <c r="Q92" s="32">
        <v>30</v>
      </c>
      <c r="R92" s="42">
        <v>30</v>
      </c>
      <c r="S92" s="42">
        <v>1.99</v>
      </c>
      <c r="T92" s="33">
        <f>ROUND((L92*I92+1.3*L92*K92+S92*H92),4)</f>
        <v>3540.78</v>
      </c>
      <c r="U92" s="33">
        <f>ROUND((M92*I92+1.3*M92*K92+S92*H92),4)</f>
        <v>3540.78</v>
      </c>
      <c r="V92" s="33">
        <f>ROUND((M92*I92+1.3*M92*K92+S92*H92),4)</f>
        <v>3540.78</v>
      </c>
      <c r="W92" s="33">
        <f>ROUND((L92*J92+1.3*L92*N92+S92*G92),4)</f>
        <v>286.26</v>
      </c>
      <c r="X92" s="33">
        <f>ROUND((M92*J92+1.3*M92*N92+S92*G92),4)</f>
        <v>286.26</v>
      </c>
      <c r="Y92" s="33">
        <f>ROUND((M92*J92+1.3*M92*N92+S92*G92),4)</f>
        <v>286.26</v>
      </c>
      <c r="Z92" s="43">
        <f>ROUND((P92*T92*F92*O92/1000000),4)</f>
        <v>0</v>
      </c>
      <c r="AA92" s="43">
        <f>ROUND((Q92*U92*F92*O92/1000000),4)</f>
        <v>0.1062</v>
      </c>
      <c r="AB92" s="43">
        <f>ROUND((R92*V92*F92*O92/1000000),4)</f>
        <v>0.1062</v>
      </c>
      <c r="AC92" s="44" t="s">
        <v>111</v>
      </c>
      <c r="AD92" s="45" t="s">
        <v>95</v>
      </c>
      <c r="AE92" s="30">
        <f>ROUND((((X92*E92)/1800)*0.8),4)</f>
        <v>0.12720000000000001</v>
      </c>
      <c r="AF92" s="30">
        <f>ROUND(((Z92+AA92+AB92)*0.8),4)</f>
        <v>0.1699</v>
      </c>
      <c r="AG92" s="50"/>
      <c r="AH92" s="50"/>
      <c r="AI92" s="2"/>
      <c r="AJ92" s="2"/>
    </row>
    <row r="93" spans="1:36" ht="12.95" customHeight="1" x14ac:dyDescent="0.25">
      <c r="A93" s="22"/>
      <c r="B93" s="35" t="s">
        <v>183</v>
      </c>
      <c r="C93" s="36"/>
      <c r="D93" s="36"/>
      <c r="E93" s="36"/>
      <c r="F93" s="36"/>
      <c r="G93" s="36"/>
      <c r="H93" s="36"/>
      <c r="I93" s="36"/>
      <c r="J93" s="36"/>
      <c r="K93" s="36"/>
      <c r="L93" s="37"/>
      <c r="M93" s="37"/>
      <c r="N93" s="36"/>
      <c r="O93" s="36"/>
      <c r="P93" s="36"/>
      <c r="Q93" s="36"/>
      <c r="R93" s="36"/>
      <c r="S93" s="46"/>
      <c r="T93" s="47"/>
      <c r="U93" s="47"/>
      <c r="V93" s="47"/>
      <c r="W93" s="47"/>
      <c r="X93" s="47"/>
      <c r="Y93" s="47"/>
      <c r="Z93" s="47"/>
      <c r="AA93" s="47"/>
      <c r="AB93" s="47"/>
      <c r="AC93" s="44" t="s">
        <v>112</v>
      </c>
      <c r="AD93" s="45" t="s">
        <v>113</v>
      </c>
      <c r="AE93" s="30">
        <f>ROUND((((X92*E92)/1800)*0.13),4)</f>
        <v>2.07E-2</v>
      </c>
      <c r="AF93" s="30">
        <f>ROUND(((Z92+AA92+AB92)*0.13),4)</f>
        <v>2.76E-2</v>
      </c>
      <c r="AG93" s="50"/>
      <c r="AH93" s="50"/>
      <c r="AI93" s="2"/>
      <c r="AJ93" s="2"/>
    </row>
    <row r="94" spans="1:36" ht="12.95" customHeight="1" x14ac:dyDescent="0.25">
      <c r="A94" s="22"/>
      <c r="C94" s="39"/>
      <c r="D94" s="39"/>
      <c r="E94" s="36"/>
      <c r="F94" s="36"/>
      <c r="G94" s="36"/>
      <c r="H94" s="36"/>
      <c r="I94" s="36"/>
      <c r="J94" s="36"/>
      <c r="K94" s="36"/>
      <c r="L94" s="40">
        <v>0.8</v>
      </c>
      <c r="M94" s="40">
        <v>0.98</v>
      </c>
      <c r="N94" s="36"/>
      <c r="O94" s="36"/>
      <c r="P94" s="36"/>
      <c r="Q94" s="36"/>
      <c r="R94" s="36"/>
      <c r="S94" s="48">
        <v>0.39</v>
      </c>
      <c r="T94" s="33">
        <f>ROUND((L94*I92+1.3*L94*K92+S94*H92),4)</f>
        <v>292.8</v>
      </c>
      <c r="U94" s="33">
        <f>ROUND((M94*0.9*I92+1.3*M94*0.9*K92+S94*H92),4)</f>
        <v>320.4135</v>
      </c>
      <c r="V94" s="33">
        <f>ROUND((M94*I92+1.3*M94*K92+S94*H92),4)</f>
        <v>353.41500000000002</v>
      </c>
      <c r="W94" s="33">
        <f>ROUND((L94*J92+1.3*L94*N92+S94*G92),4)</f>
        <v>23.94</v>
      </c>
      <c r="X94" s="33">
        <f>ROUND((M94*0.9*J92+1.3*M94*0.9*N92+S94*G92),4)</f>
        <v>26.154</v>
      </c>
      <c r="Y94" s="33">
        <f>ROUND((M94*J92+1.3*M94*N92+S94*G92),4)</f>
        <v>28.8</v>
      </c>
      <c r="Z94" s="43">
        <f>ROUND((P92*T94*F92*O92/1000000),4)</f>
        <v>0</v>
      </c>
      <c r="AA94" s="43">
        <f>ROUND((Q92*U94*F92*O92/1000000),4)</f>
        <v>9.5999999999999992E-3</v>
      </c>
      <c r="AB94" s="43">
        <f>ROUND((R92*V94*F92*O92/1000000),4)</f>
        <v>1.06E-2</v>
      </c>
      <c r="AC94" s="44" t="s">
        <v>167</v>
      </c>
      <c r="AD94" s="45" t="s">
        <v>115</v>
      </c>
      <c r="AE94" s="30">
        <f>ROUND((((X94*E92)/1800)),4)</f>
        <v>1.4500000000000001E-2</v>
      </c>
      <c r="AF94" s="30">
        <f>ROUND(((Z94+AA94+AB94)),5)</f>
        <v>2.0199999999999999E-2</v>
      </c>
      <c r="AG94" s="50"/>
      <c r="AH94" s="50"/>
      <c r="AI94" s="2"/>
      <c r="AJ94" s="2"/>
    </row>
    <row r="95" spans="1:36" ht="12.95" customHeight="1" x14ac:dyDescent="0.25">
      <c r="A95" s="22"/>
      <c r="C95" s="36"/>
      <c r="D95" s="36"/>
      <c r="E95" s="36"/>
      <c r="F95" s="36"/>
      <c r="G95" s="36"/>
      <c r="H95" s="36"/>
      <c r="I95" s="36"/>
      <c r="J95" s="36"/>
      <c r="K95" s="36"/>
      <c r="L95" s="40">
        <v>1.79</v>
      </c>
      <c r="M95" s="40">
        <v>2.15</v>
      </c>
      <c r="N95" s="36"/>
      <c r="O95" s="36"/>
      <c r="P95" s="36"/>
      <c r="Q95" s="36"/>
      <c r="R95" s="36"/>
      <c r="S95" s="49">
        <v>1.24</v>
      </c>
      <c r="T95" s="33">
        <f>ROUND((L95*I92+1.3*L95*K92+S95*H92),4)</f>
        <v>677.1825</v>
      </c>
      <c r="U95" s="33">
        <f>ROUND((M95*0.9*I92+1.3*M95*0.9*K92+S95*H92),4)</f>
        <v>726.01130000000001</v>
      </c>
      <c r="V95" s="33">
        <f>ROUND((M95*I92+1.3*M95*K92+S95*H92),4)</f>
        <v>798.41250000000002</v>
      </c>
      <c r="W95" s="33">
        <f>ROUND((L95*J92+1.3*L95*N92+S95*G92),4)</f>
        <v>55.77</v>
      </c>
      <c r="X95" s="33">
        <f>ROUND((M95*0.9*J92+1.3*M95*0.9*N92+S95*G92),4)</f>
        <v>59.685000000000002</v>
      </c>
      <c r="Y95" s="33">
        <f>ROUND((M95*J92+1.3*N92+S95*G92),4)</f>
        <v>50.54</v>
      </c>
      <c r="Z95" s="43">
        <f>ROUND((P92*T95*F92*O92/1000000),4)</f>
        <v>0</v>
      </c>
      <c r="AA95" s="43">
        <f>ROUND((Q92*U95*F92*O92/1000000),4)</f>
        <v>2.18E-2</v>
      </c>
      <c r="AB95" s="43">
        <f>ROUND((R92*V95*F92*O92/1000000),4)</f>
        <v>2.4E-2</v>
      </c>
      <c r="AC95" s="44" t="s">
        <v>168</v>
      </c>
      <c r="AD95" s="45" t="s">
        <v>169</v>
      </c>
      <c r="AE95" s="30">
        <f>ROUND((((X95*E92)/1800)),4)</f>
        <v>3.32E-2</v>
      </c>
      <c r="AF95" s="30">
        <f>ROUND(((Z95+AA95+AB95)),4)</f>
        <v>4.58E-2</v>
      </c>
      <c r="AG95" s="50"/>
      <c r="AH95" s="50"/>
      <c r="AI95" s="2"/>
      <c r="AJ95" s="2"/>
    </row>
    <row r="96" spans="1:36" ht="12.95" customHeight="1" x14ac:dyDescent="0.25">
      <c r="A96" s="22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40">
        <v>1.1299999999999999</v>
      </c>
      <c r="M96" s="40">
        <v>1.7</v>
      </c>
      <c r="N96" s="36"/>
      <c r="O96" s="36"/>
      <c r="P96" s="36"/>
      <c r="Q96" s="36"/>
      <c r="R96" s="36"/>
      <c r="S96" s="49">
        <v>0.26</v>
      </c>
      <c r="T96" s="33">
        <f>ROUND((L96*I92+1.3*L96*K92+S96*H92),4)</f>
        <v>396.1275</v>
      </c>
      <c r="U96" s="33">
        <f>ROUND((M96*0.9*I92+1.3*M96*0.9*K92+S96*H92),4)</f>
        <v>530.82749999999999</v>
      </c>
      <c r="V96" s="33">
        <f>ROUND((M96*I92+1.3*M96*K92+S96*H92),4)</f>
        <v>588.07500000000005</v>
      </c>
      <c r="W96" s="33">
        <f>ROUND((L96*J92+1.3*L96*N92+S96*G92),4)</f>
        <v>32.07</v>
      </c>
      <c r="X96" s="33">
        <f>ROUND((M96*0.9*J92+1.3*M96*0.9*N92+S96*G92),4)</f>
        <v>42.87</v>
      </c>
      <c r="Y96" s="33">
        <f>ROUND((M96*J92+1.3*M96*N92+S96*G92),4)</f>
        <v>47.46</v>
      </c>
      <c r="Z96" s="43">
        <f>ROUND((P92*T96*F92*O92/1000000),4)</f>
        <v>0</v>
      </c>
      <c r="AA96" s="43">
        <f>ROUND((Q92*U96*F92*O92/1000000),4)</f>
        <v>1.5900000000000001E-2</v>
      </c>
      <c r="AB96" s="43">
        <f>ROUND((R92*V96*F92*O92/1000000),4)</f>
        <v>1.7600000000000001E-2</v>
      </c>
      <c r="AC96" s="44" t="s">
        <v>170</v>
      </c>
      <c r="AD96" s="45" t="s">
        <v>119</v>
      </c>
      <c r="AE96" s="30">
        <f>ROUND((((X96*E92)/1800)),4)</f>
        <v>2.3800000000000002E-2</v>
      </c>
      <c r="AF96" s="30">
        <f>ROUND(((Z96+AA96+AB96)),4)</f>
        <v>3.3500000000000002E-2</v>
      </c>
      <c r="AG96" s="50"/>
      <c r="AH96" s="50"/>
      <c r="AI96" s="2"/>
      <c r="AJ96" s="2"/>
    </row>
    <row r="97" spans="1:36" ht="12.95" customHeight="1" x14ac:dyDescent="0.25">
      <c r="A97" s="22"/>
      <c r="B97" s="41"/>
      <c r="C97" s="37"/>
      <c r="D97" s="37"/>
      <c r="E97" s="37"/>
      <c r="F97" s="37"/>
      <c r="G97" s="37"/>
      <c r="H97" s="37"/>
      <c r="I97" s="37"/>
      <c r="J97" s="37"/>
      <c r="K97" s="37"/>
      <c r="L97" s="40">
        <v>5.3</v>
      </c>
      <c r="M97" s="40">
        <v>6.47</v>
      </c>
      <c r="N97" s="37"/>
      <c r="O97" s="37"/>
      <c r="P97" s="37"/>
      <c r="Q97" s="37"/>
      <c r="R97" s="37"/>
      <c r="S97" s="49">
        <v>9.92</v>
      </c>
      <c r="T97" s="33">
        <f>ROUND((L97*I92+1.3*L97*K92+S97*H92),4)</f>
        <v>2379.9749999999999</v>
      </c>
      <c r="U97" s="33">
        <f>ROUND((M97*0.9*I92+1.3*M97*0.9*K92+S97*H92),4)</f>
        <v>2556.0953</v>
      </c>
      <c r="V97" s="33">
        <f>ROUND((M97*I92+1.3*M97*K92+S97*H92),4)</f>
        <v>2773.9724999999999</v>
      </c>
      <c r="W97" s="33">
        <f>ROUND((L97*J92+1.3*L97*N92+S97*G92),4)</f>
        <v>202.62</v>
      </c>
      <c r="X97" s="33">
        <f>ROUND((M97*0.9*J92+1.3*M97*0.9*N92+S97*G92),4)</f>
        <v>216.74100000000001</v>
      </c>
      <c r="Y97" s="33">
        <f>ROUND((M97*J92+1.3*M97*N92+S97*G92),4)</f>
        <v>234.21</v>
      </c>
      <c r="Z97" s="43">
        <f>ROUND((P92*T97*F92*O92/1000000),4)</f>
        <v>0</v>
      </c>
      <c r="AA97" s="43">
        <f>ROUND((Q92*U97*F92*O92/1000000),4)</f>
        <v>7.6700000000000004E-2</v>
      </c>
      <c r="AB97" s="43">
        <f>ROUND((R92*V97*F92*O92/1000000),4)</f>
        <v>8.3199999999999996E-2</v>
      </c>
      <c r="AC97" s="44" t="s">
        <v>171</v>
      </c>
      <c r="AD97" s="45" t="s">
        <v>104</v>
      </c>
      <c r="AE97" s="30">
        <f>ROUND((((X97*E92)/1800)),4)</f>
        <v>0.12039999999999999</v>
      </c>
      <c r="AF97" s="30">
        <f>ROUND(((Z97+AA97+AB97)),4)</f>
        <v>0.15989999999999999</v>
      </c>
      <c r="AG97" s="50"/>
      <c r="AH97" s="50"/>
      <c r="AI97" s="2"/>
      <c r="AJ97" s="2"/>
    </row>
    <row r="98" spans="1:36" ht="12.95" customHeight="1" x14ac:dyDescent="0.25">
      <c r="A98" s="36"/>
      <c r="B98" s="50" t="s">
        <v>184</v>
      </c>
      <c r="C98" s="31">
        <v>1</v>
      </c>
      <c r="D98" s="32" t="s">
        <v>185</v>
      </c>
      <c r="E98" s="32">
        <v>1</v>
      </c>
      <c r="F98" s="32">
        <v>2</v>
      </c>
      <c r="G98" s="32">
        <v>6</v>
      </c>
      <c r="H98" s="32">
        <v>60</v>
      </c>
      <c r="I98" s="32">
        <f>(8-1-0.75*2)*60*F98-K98-8*0.12*60</f>
        <v>173.4</v>
      </c>
      <c r="J98" s="32">
        <v>14</v>
      </c>
      <c r="K98" s="32">
        <f>(8-1-0.75*2)*0.65*60*F98</f>
        <v>429</v>
      </c>
      <c r="L98" s="33">
        <v>0.47</v>
      </c>
      <c r="M98" s="33">
        <v>0.47</v>
      </c>
      <c r="N98" s="32">
        <v>10</v>
      </c>
      <c r="O98" s="32">
        <f>E98/F98</f>
        <v>0.5</v>
      </c>
      <c r="P98" s="32">
        <v>0</v>
      </c>
      <c r="Q98" s="32">
        <v>60</v>
      </c>
      <c r="R98" s="42">
        <v>30</v>
      </c>
      <c r="S98" s="42">
        <v>0.09</v>
      </c>
      <c r="T98" s="33">
        <f>ROUND((L98*I98+1.3*L98*K98+S98*H98),4)</f>
        <v>349.017</v>
      </c>
      <c r="U98" s="33">
        <f>ROUND((M98*I98+1.3*M98*K98+S98*H98),4)</f>
        <v>349.017</v>
      </c>
      <c r="V98" s="33">
        <f>ROUND((M98*I98+1.3*M98*K98+S98*H98),4)</f>
        <v>349.017</v>
      </c>
      <c r="W98" s="33">
        <f>ROUND((L98*J98+1.3*L98*N98+S98*G98),4)</f>
        <v>13.23</v>
      </c>
      <c r="X98" s="33">
        <f>ROUND((M98*J98+1.3*M98*N98+S98*G98),4)</f>
        <v>13.23</v>
      </c>
      <c r="Y98" s="33">
        <f>ROUND((M98*J98+1.3*M98*N98+S98*G98),4)</f>
        <v>13.23</v>
      </c>
      <c r="Z98" s="43">
        <f>ROUND((P98*T98*F98*O98/1000000),4)</f>
        <v>0</v>
      </c>
      <c r="AA98" s="43">
        <f>ROUND((Q98*U98*F98*O98/1000000),4)</f>
        <v>2.0899999999999998E-2</v>
      </c>
      <c r="AB98" s="43">
        <f>ROUND((R98*V98*F98*O98/1000000),4)</f>
        <v>1.0500000000000001E-2</v>
      </c>
      <c r="AC98" s="44" t="s">
        <v>111</v>
      </c>
      <c r="AD98" s="45" t="s">
        <v>95</v>
      </c>
      <c r="AE98" s="30">
        <f>ROUND((((X98*E98)/1800)*0.8),4)</f>
        <v>5.8999999999999999E-3</v>
      </c>
      <c r="AF98" s="30">
        <f>ROUND(((Z98+AA98+AB98)*0.8),4)</f>
        <v>2.5100000000000001E-2</v>
      </c>
      <c r="AG98" s="50"/>
      <c r="AH98" s="50"/>
    </row>
    <row r="99" spans="1:36" ht="12.95" customHeight="1" x14ac:dyDescent="0.25">
      <c r="A99" s="36"/>
      <c r="B99" s="35" t="s">
        <v>186</v>
      </c>
      <c r="C99" s="36"/>
      <c r="D99" s="36"/>
      <c r="E99" s="36"/>
      <c r="F99" s="36"/>
      <c r="G99" s="36"/>
      <c r="H99" s="36"/>
      <c r="I99" s="36"/>
      <c r="J99" s="36"/>
      <c r="K99" s="36"/>
      <c r="L99" s="37"/>
      <c r="M99" s="37"/>
      <c r="N99" s="36"/>
      <c r="O99" s="36"/>
      <c r="P99" s="36"/>
      <c r="Q99" s="36"/>
      <c r="R99" s="36"/>
      <c r="S99" s="46"/>
      <c r="T99" s="47"/>
      <c r="U99" s="47"/>
      <c r="V99" s="47"/>
      <c r="W99" s="47"/>
      <c r="X99" s="47"/>
      <c r="Y99" s="47"/>
      <c r="Z99" s="47"/>
      <c r="AA99" s="47"/>
      <c r="AB99" s="47"/>
      <c r="AC99" s="44" t="s">
        <v>112</v>
      </c>
      <c r="AD99" s="45" t="s">
        <v>113</v>
      </c>
      <c r="AE99" s="30">
        <f>ROUND((((X98*E98)/1800)*0.13),4)</f>
        <v>1E-3</v>
      </c>
      <c r="AF99" s="30">
        <f>ROUND(((Z98+AA98+AB98)*0.13),4)</f>
        <v>4.1000000000000003E-3</v>
      </c>
      <c r="AG99" s="50"/>
      <c r="AH99" s="50"/>
    </row>
    <row r="100" spans="1:36" ht="12.95" customHeight="1" x14ac:dyDescent="0.25">
      <c r="A100" s="36"/>
      <c r="C100" s="39"/>
      <c r="D100" s="39"/>
      <c r="E100" s="36"/>
      <c r="F100" s="36"/>
      <c r="G100" s="36"/>
      <c r="H100" s="36"/>
      <c r="I100" s="36"/>
      <c r="J100" s="36"/>
      <c r="K100" s="36"/>
      <c r="L100" s="40">
        <v>0.8</v>
      </c>
      <c r="M100" s="40">
        <v>0.98</v>
      </c>
      <c r="N100" s="36"/>
      <c r="O100" s="36"/>
      <c r="P100" s="36"/>
      <c r="Q100" s="36"/>
      <c r="R100" s="36"/>
      <c r="S100" s="48">
        <v>1.7999999999999999E-2</v>
      </c>
      <c r="T100" s="33">
        <f>ROUND((L100*I98+1.3*L100*K98+S100*H98),4)</f>
        <v>585.96</v>
      </c>
      <c r="U100" s="33">
        <f>ROUND((M100*0.9*I98+1.3*M100*0.9*K98+S100*H98),4)</f>
        <v>645.91020000000003</v>
      </c>
      <c r="V100" s="33">
        <f>ROUND((M100*I98+1.3*M100*K98+S100*H98),4)</f>
        <v>717.55799999999999</v>
      </c>
      <c r="W100" s="33">
        <f>ROUND((L100*J98+1.3*L100*N98+S100*G98),4)</f>
        <v>21.707999999999998</v>
      </c>
      <c r="X100" s="33">
        <f>ROUND((M100*0.9*J98+1.3*M100*0.9*N98+S100*G98),4)</f>
        <v>23.922000000000001</v>
      </c>
      <c r="Y100" s="33">
        <f>ROUND((M100*J98+1.3*M100*N98+S100*G98),4)</f>
        <v>26.568000000000001</v>
      </c>
      <c r="Z100" s="43">
        <f>ROUND((P98*T100*F98*O98/1000000),4)</f>
        <v>0</v>
      </c>
      <c r="AA100" s="43">
        <f>ROUND((Q98*U100*F98*O98/1000000),4)</f>
        <v>3.8800000000000001E-2</v>
      </c>
      <c r="AB100" s="43">
        <f>ROUND((R98*V100*F98*O98/1000000),4)</f>
        <v>2.1499999999999998E-2</v>
      </c>
      <c r="AC100" s="44" t="s">
        <v>167</v>
      </c>
      <c r="AD100" s="45" t="s">
        <v>115</v>
      </c>
      <c r="AE100" s="30">
        <f>ROUND((((X100*E98)/1800)),4)</f>
        <v>1.3299999999999999E-2</v>
      </c>
      <c r="AF100" s="30">
        <f>ROUND(((Z100+AA100+AB100)),5)</f>
        <v>6.0299999999999999E-2</v>
      </c>
      <c r="AG100" s="50"/>
      <c r="AH100" s="50"/>
    </row>
    <row r="101" spans="1:36" ht="12.95" customHeight="1" x14ac:dyDescent="0.25">
      <c r="A101" s="36"/>
      <c r="C101" s="36"/>
      <c r="D101" s="36"/>
      <c r="E101" s="36"/>
      <c r="F101" s="36"/>
      <c r="G101" s="36"/>
      <c r="H101" s="36"/>
      <c r="I101" s="36"/>
      <c r="J101" s="36"/>
      <c r="K101" s="36"/>
      <c r="L101" s="40">
        <v>0.08</v>
      </c>
      <c r="M101" s="40">
        <v>0.1</v>
      </c>
      <c r="N101" s="36"/>
      <c r="O101" s="36"/>
      <c r="P101" s="36"/>
      <c r="Q101" s="36"/>
      <c r="R101" s="36"/>
      <c r="S101" s="49">
        <v>0.06</v>
      </c>
      <c r="T101" s="33">
        <f>ROUND((L101*I98+1.3*L101*K98+S101*H98),4)</f>
        <v>62.088000000000001</v>
      </c>
      <c r="U101" s="33">
        <f>ROUND((M101*0.9*I98+1.3*M101*0.9*K98+S101*H98),4)</f>
        <v>69.399000000000001</v>
      </c>
      <c r="V101" s="33">
        <f>ROUND((M101*I98+1.3*M101*K98+S101*H98),4)</f>
        <v>76.709999999999994</v>
      </c>
      <c r="W101" s="33">
        <f>ROUND((L101*J98+1.3*L101*N98+S101*G98),4)</f>
        <v>2.52</v>
      </c>
      <c r="X101" s="33">
        <f>ROUND((M101*0.9*J98+1.3*M101*0.9*N98+S101*G98),4)</f>
        <v>2.79</v>
      </c>
      <c r="Y101" s="33">
        <f>ROUND((M101*J98+1.3*N98+S101*G98),4)</f>
        <v>14.76</v>
      </c>
      <c r="Z101" s="43">
        <f>ROUND((P98*T101*F98*O98/1000000),4)</f>
        <v>0</v>
      </c>
      <c r="AA101" s="43">
        <f>ROUND((Q98*U101*F98*O98/1000000),4)</f>
        <v>4.1999999999999997E-3</v>
      </c>
      <c r="AB101" s="43">
        <f>ROUND((R98*V101*F98*O98/1000000),4)</f>
        <v>2.3E-3</v>
      </c>
      <c r="AC101" s="44" t="s">
        <v>168</v>
      </c>
      <c r="AD101" s="45" t="s">
        <v>169</v>
      </c>
      <c r="AE101" s="30">
        <f>ROUND((((X101*E98)/1800)),4)</f>
        <v>1.6000000000000001E-3</v>
      </c>
      <c r="AF101" s="30">
        <f>ROUND(((Z101+AA101+AB101)),4)</f>
        <v>6.4999999999999997E-3</v>
      </c>
      <c r="AG101" s="50"/>
      <c r="AH101" s="50"/>
    </row>
    <row r="102" spans="1:36" ht="12.95" customHeight="1" x14ac:dyDescent="0.25">
      <c r="A102" s="36"/>
      <c r="B102" s="35"/>
      <c r="C102" s="36"/>
      <c r="D102" s="36"/>
      <c r="E102" s="36"/>
      <c r="F102" s="36"/>
      <c r="G102" s="36"/>
      <c r="H102" s="36"/>
      <c r="I102" s="36"/>
      <c r="J102" s="36"/>
      <c r="K102" s="36"/>
      <c r="L102" s="40">
        <v>0.05</v>
      </c>
      <c r="M102" s="40">
        <v>7.0000000000000007E-2</v>
      </c>
      <c r="N102" s="36"/>
      <c r="O102" s="36"/>
      <c r="P102" s="36"/>
      <c r="Q102" s="36"/>
      <c r="R102" s="36"/>
      <c r="S102" s="49">
        <v>0.01</v>
      </c>
      <c r="T102" s="33">
        <f>ROUND((L102*I98+1.3*L102*K98+S102*H98),4)</f>
        <v>37.155000000000001</v>
      </c>
      <c r="U102" s="33">
        <f>ROUND((M102*0.9*I98+1.3*M102*0.9*K98+S102*H98),4)</f>
        <v>46.659300000000002</v>
      </c>
      <c r="V102" s="33">
        <f>ROUND((M102*I98+1.3*M102*K98+S102*H98),4)</f>
        <v>51.777000000000001</v>
      </c>
      <c r="W102" s="33">
        <f>ROUND((L102*J98+1.3*L102*N98+S102*G98),4)</f>
        <v>1.41</v>
      </c>
      <c r="X102" s="33">
        <f>ROUND((M102*0.9*J98+1.3*M102*0.9*N98+S102*G98),4)</f>
        <v>1.7609999999999999</v>
      </c>
      <c r="Y102" s="33">
        <f>ROUND((M102*J98+1.3*M102*N98+S102*G98),4)</f>
        <v>1.95</v>
      </c>
      <c r="Z102" s="43">
        <f>ROUND((P98*T102*F98*O98/1000000),4)</f>
        <v>0</v>
      </c>
      <c r="AA102" s="43">
        <f>ROUND((Q98*U102*F98*O98/1000000),4)</f>
        <v>2.8E-3</v>
      </c>
      <c r="AB102" s="43">
        <f>ROUND((R98*V102*F98*O98/1000000),4)</f>
        <v>1.6000000000000001E-3</v>
      </c>
      <c r="AC102" s="44" t="s">
        <v>170</v>
      </c>
      <c r="AD102" s="45" t="s">
        <v>119</v>
      </c>
      <c r="AE102" s="30">
        <f>ROUND((((X102*E98)/1800)),4)</f>
        <v>1E-3</v>
      </c>
      <c r="AF102" s="30">
        <f>ROUND(((Z102+AA102+AB102)),4)</f>
        <v>4.4000000000000003E-3</v>
      </c>
      <c r="AG102" s="50"/>
      <c r="AH102" s="50"/>
    </row>
    <row r="103" spans="1:36" ht="12.95" customHeight="1" x14ac:dyDescent="0.25">
      <c r="A103" s="36"/>
      <c r="B103" s="41"/>
      <c r="C103" s="37"/>
      <c r="D103" s="37"/>
      <c r="E103" s="37"/>
      <c r="F103" s="37"/>
      <c r="G103" s="37"/>
      <c r="H103" s="37"/>
      <c r="I103" s="37"/>
      <c r="J103" s="37"/>
      <c r="K103" s="37"/>
      <c r="L103" s="40">
        <v>3.5999999999999997E-2</v>
      </c>
      <c r="M103" s="40">
        <v>4.3999999999999997E-2</v>
      </c>
      <c r="N103" s="37"/>
      <c r="O103" s="37"/>
      <c r="P103" s="37"/>
      <c r="Q103" s="37"/>
      <c r="R103" s="37"/>
      <c r="S103" s="49">
        <v>0.45</v>
      </c>
      <c r="T103" s="33">
        <f>ROUND((L103*I98+1.3*L103*K98+S103*H98),4)</f>
        <v>53.319600000000001</v>
      </c>
      <c r="U103" s="33">
        <f>ROUND((M103*0.9*I98+1.3*M103*0.9*K98+S103*H98),4)</f>
        <v>55.951599999999999</v>
      </c>
      <c r="V103" s="33">
        <f>ROUND((M103*I98+1.3*M103*K98+S103*H98),4)</f>
        <v>59.168399999999998</v>
      </c>
      <c r="W103" s="33">
        <f>ROUND((L103*J98+1.3*L103*N98+S103*G98),4)</f>
        <v>3.6720000000000002</v>
      </c>
      <c r="X103" s="33">
        <f>ROUND((M103*0.9*J98+1.3*M103*0.9*N98+S103*G98),4)</f>
        <v>3.7692000000000001</v>
      </c>
      <c r="Y103" s="33">
        <f>ROUND((M103*J98+1.3*M103*N98+S103*G98),4)</f>
        <v>3.8879999999999999</v>
      </c>
      <c r="Z103" s="43">
        <f>ROUND((P98*T103*F98*O98/1000000),4)</f>
        <v>0</v>
      </c>
      <c r="AA103" s="43">
        <f>ROUND((Q98*U103*F98*O98/1000000),4)</f>
        <v>3.3999999999999998E-3</v>
      </c>
      <c r="AB103" s="43">
        <f>ROUND((R98*V103*F98*O98/1000000),4)</f>
        <v>1.8E-3</v>
      </c>
      <c r="AC103" s="44" t="s">
        <v>171</v>
      </c>
      <c r="AD103" s="45" t="s">
        <v>104</v>
      </c>
      <c r="AE103" s="30">
        <f>ROUND((((X103*E98)/1800)),4)</f>
        <v>2.0999999999999999E-3</v>
      </c>
      <c r="AF103" s="30">
        <f>ROUND(((Z103+AA103+AB103)),4)</f>
        <v>5.1999999999999998E-3</v>
      </c>
      <c r="AG103" s="50"/>
      <c r="AH103" s="50"/>
    </row>
    <row r="104" spans="1:36" ht="12.95" customHeight="1" x14ac:dyDescent="0.25">
      <c r="A104" s="56"/>
      <c r="B104" s="31" t="s">
        <v>188</v>
      </c>
      <c r="C104" s="31">
        <v>6</v>
      </c>
      <c r="D104" s="32" t="s">
        <v>175</v>
      </c>
      <c r="E104" s="32">
        <v>1</v>
      </c>
      <c r="F104" s="32">
        <v>1</v>
      </c>
      <c r="G104" s="32">
        <v>6</v>
      </c>
      <c r="H104" s="32">
        <v>60</v>
      </c>
      <c r="I104" s="32">
        <f>(8-1-0.75*2)*60*F104-K104-8*0.12*60</f>
        <v>57.900000000000006</v>
      </c>
      <c r="J104" s="32">
        <v>14</v>
      </c>
      <c r="K104" s="32">
        <f>(8-1-0.75*2)*0.65*60*F104</f>
        <v>214.5</v>
      </c>
      <c r="L104" s="33">
        <v>6.47</v>
      </c>
      <c r="M104" s="33">
        <v>6.47</v>
      </c>
      <c r="N104" s="32">
        <v>10</v>
      </c>
      <c r="O104" s="32">
        <f>E104/F104</f>
        <v>1</v>
      </c>
      <c r="P104" s="32">
        <v>0</v>
      </c>
      <c r="Q104" s="32">
        <v>5</v>
      </c>
      <c r="R104" s="42">
        <v>0</v>
      </c>
      <c r="S104" s="42">
        <v>1.27</v>
      </c>
      <c r="T104" s="33">
        <f>ROUND((L104*I104+1.3*L104*K104+S104*H104),4)</f>
        <v>2254.9724999999999</v>
      </c>
      <c r="U104" s="33">
        <f>ROUND((M104*I104+1.3*M104*K104+S104*H104),4)</f>
        <v>2254.9724999999999</v>
      </c>
      <c r="V104" s="33">
        <f>ROUND((M104*I104+1.3*M104*K104+S104*H104),4)</f>
        <v>2254.9724999999999</v>
      </c>
      <c r="W104" s="33">
        <f>ROUND((L104*J104+1.3*L104*N104+S104*G104),4)</f>
        <v>182.31</v>
      </c>
      <c r="X104" s="33">
        <f>ROUND((M104*J104+1.3*M104*N104+S104*G104),4)</f>
        <v>182.31</v>
      </c>
      <c r="Y104" s="33">
        <f>ROUND((M104*J104+1.3*M104*N104+S104*G104),4)</f>
        <v>182.31</v>
      </c>
      <c r="Z104" s="43">
        <f>ROUND((P104*T104*F104*O104/1000000),4)</f>
        <v>0</v>
      </c>
      <c r="AA104" s="43">
        <f>ROUND((Q104*U104*F104*O104/1000000),4)</f>
        <v>1.1299999999999999E-2</v>
      </c>
      <c r="AB104" s="43">
        <f>ROUND((R104*V104*F104*O104/1000000),4)</f>
        <v>0</v>
      </c>
      <c r="AC104" s="44" t="s">
        <v>111</v>
      </c>
      <c r="AD104" s="45" t="s">
        <v>95</v>
      </c>
      <c r="AE104" s="30">
        <f>ROUND((((X104*E104)/1800)*0.8),4)</f>
        <v>8.1000000000000003E-2</v>
      </c>
      <c r="AF104" s="30">
        <f>ROUND(((Z104+AA104+AB104)*0.8),4)</f>
        <v>8.9999999999999993E-3</v>
      </c>
      <c r="AG104" s="50"/>
      <c r="AH104" s="50"/>
      <c r="AI104" s="1"/>
      <c r="AJ104" s="1"/>
    </row>
    <row r="105" spans="1:36" ht="12.95" customHeight="1" x14ac:dyDescent="0.25">
      <c r="A105" s="56"/>
      <c r="B105" s="35" t="s">
        <v>189</v>
      </c>
      <c r="C105" s="36"/>
      <c r="D105" s="36"/>
      <c r="E105" s="36"/>
      <c r="F105" s="36"/>
      <c r="G105" s="36"/>
      <c r="H105" s="36"/>
      <c r="I105" s="36"/>
      <c r="J105" s="36"/>
      <c r="K105" s="36"/>
      <c r="L105" s="37"/>
      <c r="M105" s="37"/>
      <c r="N105" s="36"/>
      <c r="O105" s="36"/>
      <c r="P105" s="36"/>
      <c r="Q105" s="36"/>
      <c r="R105" s="36"/>
      <c r="S105" s="46"/>
      <c r="T105" s="47"/>
      <c r="U105" s="47"/>
      <c r="V105" s="47"/>
      <c r="W105" s="47"/>
      <c r="X105" s="47"/>
      <c r="Y105" s="47"/>
      <c r="Z105" s="47"/>
      <c r="AA105" s="47"/>
      <c r="AB105" s="47"/>
      <c r="AC105" s="44" t="s">
        <v>112</v>
      </c>
      <c r="AD105" s="45" t="s">
        <v>113</v>
      </c>
      <c r="AE105" s="30">
        <f>ROUND((((X104*E104)/1800)*0.13),4)</f>
        <v>1.32E-2</v>
      </c>
      <c r="AF105" s="30">
        <f>ROUND(((Z104+AA104+AB104)*0.13),4)</f>
        <v>1.5E-3</v>
      </c>
      <c r="AG105" s="50"/>
      <c r="AH105" s="50"/>
      <c r="AI105" s="1"/>
      <c r="AJ105" s="1"/>
    </row>
    <row r="106" spans="1:36" ht="12.95" customHeight="1" x14ac:dyDescent="0.25">
      <c r="A106" s="56"/>
      <c r="B106" s="50"/>
      <c r="C106" s="39"/>
      <c r="D106" s="39"/>
      <c r="E106" s="36"/>
      <c r="F106" s="36"/>
      <c r="G106" s="36"/>
      <c r="H106" s="36"/>
      <c r="I106" s="36"/>
      <c r="J106" s="36"/>
      <c r="K106" s="36"/>
      <c r="L106" s="40">
        <v>0.51</v>
      </c>
      <c r="M106" s="40">
        <v>0.63</v>
      </c>
      <c r="N106" s="36"/>
      <c r="O106" s="36"/>
      <c r="P106" s="36"/>
      <c r="Q106" s="36"/>
      <c r="R106" s="36"/>
      <c r="S106" s="48">
        <v>0.25</v>
      </c>
      <c r="T106" s="33">
        <f>ROUND((L106*I104+1.3*L106*K104+S106*H104),4)</f>
        <v>186.74250000000001</v>
      </c>
      <c r="U106" s="33">
        <f>ROUND((M106*0.9*I104+1.3*M106*0.9*K104+S106*H104),4)</f>
        <v>205.93729999999999</v>
      </c>
      <c r="V106" s="33">
        <f>ROUND((M106*I104+1.3*M106*K104+S106*H104),4)</f>
        <v>227.1525</v>
      </c>
      <c r="W106" s="33">
        <f>ROUND((L106*J104+1.3*L106*N104+S106*G104),4)</f>
        <v>15.27</v>
      </c>
      <c r="X106" s="33">
        <f>ROUND((M106*0.9*J104+1.3*M106*0.9*N104+S106*G104),4)</f>
        <v>16.809000000000001</v>
      </c>
      <c r="Y106" s="33">
        <f>ROUND((M106*J104+1.3*M106*N104+S106*G104),4)</f>
        <v>18.510000000000002</v>
      </c>
      <c r="Z106" s="43">
        <f>ROUND((P104*T106*F104*O104/1000000),4)</f>
        <v>0</v>
      </c>
      <c r="AA106" s="43">
        <f>ROUND((Q104*U106*F104*O104/1000000),4)</f>
        <v>1E-3</v>
      </c>
      <c r="AB106" s="43">
        <f>ROUND((R104*V106*F104*O104/1000000),4)</f>
        <v>0</v>
      </c>
      <c r="AC106" s="44" t="s">
        <v>167</v>
      </c>
      <c r="AD106" s="45" t="s">
        <v>115</v>
      </c>
      <c r="AE106" s="30">
        <f>ROUND((((X106*E104)/1800)),4)</f>
        <v>9.2999999999999992E-3</v>
      </c>
      <c r="AF106" s="30">
        <f>ROUND(((Z106+AA106+AB106)),5)</f>
        <v>1E-3</v>
      </c>
      <c r="AG106" s="50"/>
      <c r="AH106" s="50"/>
      <c r="AI106" s="1"/>
      <c r="AJ106" s="1"/>
    </row>
    <row r="107" spans="1:36" ht="12.95" customHeight="1" x14ac:dyDescent="0.25">
      <c r="A107" s="56"/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40">
        <v>1.1399999999999999</v>
      </c>
      <c r="M107" s="40">
        <v>1.37</v>
      </c>
      <c r="N107" s="36"/>
      <c r="O107" s="36"/>
      <c r="P107" s="36"/>
      <c r="Q107" s="36"/>
      <c r="R107" s="36"/>
      <c r="S107" s="49">
        <v>0.79</v>
      </c>
      <c r="T107" s="33">
        <f>ROUND((L107*I104+1.3*L107*K104+S107*H104),4)</f>
        <v>431.29500000000002</v>
      </c>
      <c r="U107" s="33">
        <f>ROUND((M107*0.9*I104+1.3*M107*0.9*K104+S107*H104),4)</f>
        <v>462.61279999999999</v>
      </c>
      <c r="V107" s="33">
        <f>ROUND((M107*I104+1.3*M107*K104+S107*H104),4)</f>
        <v>508.7475</v>
      </c>
      <c r="W107" s="33">
        <f>ROUND((L107*J104+1.3*L107*N104+S107*G104),4)</f>
        <v>35.520000000000003</v>
      </c>
      <c r="X107" s="33">
        <f>ROUND((M107*0.9*J104+1.3*M107*0.9*N104+S107*G104),4)</f>
        <v>38.030999999999999</v>
      </c>
      <c r="Y107" s="33">
        <f>ROUND((M107*J104+1.3*N104+S107*G104),4)</f>
        <v>36.92</v>
      </c>
      <c r="Z107" s="43">
        <f>ROUND((P104*T107*F104*O104/1000000),4)</f>
        <v>0</v>
      </c>
      <c r="AA107" s="43">
        <f>ROUND((Q104*U107*F104*O104/1000000),4)</f>
        <v>2.3E-3</v>
      </c>
      <c r="AB107" s="43">
        <f>ROUND((R104*V107*F104*O104/1000000),4)</f>
        <v>0</v>
      </c>
      <c r="AC107" s="44" t="s">
        <v>168</v>
      </c>
      <c r="AD107" s="45" t="s">
        <v>169</v>
      </c>
      <c r="AE107" s="30">
        <f>ROUND((((X107*E104)/1800)),4)</f>
        <v>2.1100000000000001E-2</v>
      </c>
      <c r="AF107" s="30">
        <f>ROUND(((Z107+AA107+AB107)),4)</f>
        <v>2.3E-3</v>
      </c>
      <c r="AG107" s="50"/>
      <c r="AH107" s="50"/>
      <c r="AI107" s="1"/>
      <c r="AJ107" s="1"/>
    </row>
    <row r="108" spans="1:36" ht="12.95" customHeight="1" x14ac:dyDescent="0.25">
      <c r="A108" s="56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40">
        <v>0.72</v>
      </c>
      <c r="M108" s="40">
        <v>1.08</v>
      </c>
      <c r="N108" s="36"/>
      <c r="O108" s="36"/>
      <c r="P108" s="36"/>
      <c r="Q108" s="36"/>
      <c r="R108" s="36"/>
      <c r="S108" s="49">
        <v>0.17</v>
      </c>
      <c r="T108" s="33">
        <f>ROUND((L108*I104+1.3*L108*K104+S108*H104),4)</f>
        <v>252.66</v>
      </c>
      <c r="U108" s="33">
        <f>ROUND((M108*0.9*I104+1.3*M108*0.9*K104+S108*H104),4)</f>
        <v>337.52100000000002</v>
      </c>
      <c r="V108" s="33">
        <f>ROUND((M108*I104+1.3*M108*K104+S108*H104),4)</f>
        <v>373.89</v>
      </c>
      <c r="W108" s="33">
        <f>ROUND((L108*J104+1.3*L108*N104+S108*G104),4)</f>
        <v>20.46</v>
      </c>
      <c r="X108" s="33">
        <f>ROUND((M108*0.9*J104+1.3*M108*0.9*N104+S108*G104),4)</f>
        <v>27.263999999999999</v>
      </c>
      <c r="Y108" s="33">
        <f>ROUND((M108*J104+1.3*M108*N104+S108*G104),4)</f>
        <v>30.18</v>
      </c>
      <c r="Z108" s="43">
        <f>ROUND((P104*T108*F104*O104/1000000),4)</f>
        <v>0</v>
      </c>
      <c r="AA108" s="43">
        <f>ROUND((Q104*U108*F104*O104/1000000),4)</f>
        <v>1.6999999999999999E-3</v>
      </c>
      <c r="AB108" s="43">
        <f>ROUND((R104*V108*F104*O104/1000000),4)</f>
        <v>0</v>
      </c>
      <c r="AC108" s="44" t="s">
        <v>170</v>
      </c>
      <c r="AD108" s="45" t="s">
        <v>119</v>
      </c>
      <c r="AE108" s="30">
        <f>ROUND((((X108*E104)/1800)),4)</f>
        <v>1.5100000000000001E-2</v>
      </c>
      <c r="AF108" s="30">
        <f>ROUND(((Z108+AA108+AB108)),4)</f>
        <v>1.6999999999999999E-3</v>
      </c>
      <c r="AG108" s="50"/>
      <c r="AH108" s="50"/>
      <c r="AI108" s="1"/>
      <c r="AJ108" s="1"/>
    </row>
    <row r="109" spans="1:36" ht="12.95" customHeight="1" x14ac:dyDescent="0.25">
      <c r="A109" s="56"/>
      <c r="B109" s="41"/>
      <c r="C109" s="37"/>
      <c r="D109" s="37"/>
      <c r="E109" s="37"/>
      <c r="F109" s="37"/>
      <c r="G109" s="37"/>
      <c r="H109" s="37"/>
      <c r="I109" s="37"/>
      <c r="J109" s="37"/>
      <c r="K109" s="37"/>
      <c r="L109" s="40">
        <v>3.37</v>
      </c>
      <c r="M109" s="40">
        <v>4.1100000000000003</v>
      </c>
      <c r="N109" s="37"/>
      <c r="O109" s="37"/>
      <c r="P109" s="37"/>
      <c r="Q109" s="37"/>
      <c r="R109" s="37"/>
      <c r="S109" s="49">
        <v>6.31</v>
      </c>
      <c r="T109" s="33">
        <f>ROUND((L109*I104+1.3*L109*K104+S109*H104),4)</f>
        <v>1513.4475</v>
      </c>
      <c r="U109" s="33">
        <f>ROUND((M109*0.9*I104+1.3*M109*0.9*K104+S109*H104),4)</f>
        <v>1624.2383</v>
      </c>
      <c r="V109" s="33">
        <f>ROUND((M109*I104+1.3*M109*K104+S109*H104),4)</f>
        <v>1762.6424999999999</v>
      </c>
      <c r="W109" s="33">
        <f>ROUND((L109*J104+1.3*L109*N104+S109*G104),4)</f>
        <v>128.85</v>
      </c>
      <c r="X109" s="33">
        <f>ROUND((M109*0.9*J104+1.3*M109*0.9*N104+S109*G104),4)</f>
        <v>137.733</v>
      </c>
      <c r="Y109" s="33">
        <f>ROUND((M109*J104+1.3*M109*N104+S109*G104),4)</f>
        <v>148.83000000000001</v>
      </c>
      <c r="Z109" s="43">
        <f>ROUND((P104*T109*F104*O104/1000000),4)</f>
        <v>0</v>
      </c>
      <c r="AA109" s="43">
        <f>ROUND((Q104*U109*F104*O104/1000000),4)</f>
        <v>8.0999999999999996E-3</v>
      </c>
      <c r="AB109" s="43">
        <f>ROUND((R104*V109*F104*O104/1000000),4)</f>
        <v>0</v>
      </c>
      <c r="AC109" s="44" t="s">
        <v>171</v>
      </c>
      <c r="AD109" s="45" t="s">
        <v>104</v>
      </c>
      <c r="AE109" s="30">
        <f>ROUND((((X109*E104)/1800)),4)</f>
        <v>7.6499999999999999E-2</v>
      </c>
      <c r="AF109" s="30">
        <f>ROUND(((Z109+AA109+AB109)),4)</f>
        <v>8.0999999999999996E-3</v>
      </c>
      <c r="AG109" s="50"/>
      <c r="AH109" s="50"/>
      <c r="AI109" s="1"/>
      <c r="AJ109" s="1"/>
    </row>
    <row r="110" spans="1:36" ht="12.95" customHeight="1" x14ac:dyDescent="0.25">
      <c r="A110" s="27"/>
      <c r="B110" s="31" t="s">
        <v>190</v>
      </c>
      <c r="C110" s="31">
        <v>6</v>
      </c>
      <c r="D110" s="32" t="s">
        <v>175</v>
      </c>
      <c r="E110" s="32">
        <v>1</v>
      </c>
      <c r="F110" s="32">
        <v>1</v>
      </c>
      <c r="G110" s="32">
        <v>6</v>
      </c>
      <c r="H110" s="32">
        <v>60</v>
      </c>
      <c r="I110" s="32">
        <f>(8-1-0.75*2)*60*F110-K110-8*0.12*60</f>
        <v>57.900000000000006</v>
      </c>
      <c r="J110" s="32">
        <v>14</v>
      </c>
      <c r="K110" s="32">
        <f>(8-1-0.75*2)*0.65*60*F110</f>
        <v>214.5</v>
      </c>
      <c r="L110" s="33">
        <v>6.47</v>
      </c>
      <c r="M110" s="33">
        <v>6.47</v>
      </c>
      <c r="N110" s="32">
        <v>10</v>
      </c>
      <c r="O110" s="32">
        <f>E110/F110</f>
        <v>1</v>
      </c>
      <c r="P110" s="32">
        <v>0</v>
      </c>
      <c r="Q110" s="32">
        <v>30</v>
      </c>
      <c r="R110" s="42">
        <v>15</v>
      </c>
      <c r="S110" s="42">
        <v>1.27</v>
      </c>
      <c r="T110" s="33">
        <f>ROUND((L110*I110+1.3*L110*K110+S110*H110),4)</f>
        <v>2254.9724999999999</v>
      </c>
      <c r="U110" s="33">
        <f>ROUND((M110*I110+1.3*M110*K110+S110*H110),4)</f>
        <v>2254.9724999999999</v>
      </c>
      <c r="V110" s="33">
        <f>ROUND((M110*I110+1.3*M110*K110+S110*H110),4)</f>
        <v>2254.9724999999999</v>
      </c>
      <c r="W110" s="33">
        <f>ROUND((L110*J110+1.3*L110*N110+S110*G110),4)</f>
        <v>182.31</v>
      </c>
      <c r="X110" s="33">
        <f>ROUND((M110*J110+1.3*M110*N110+S110*G110),4)</f>
        <v>182.31</v>
      </c>
      <c r="Y110" s="33">
        <f>ROUND((M110*J110+1.3*M110*N110+S110*G110),4)</f>
        <v>182.31</v>
      </c>
      <c r="Z110" s="43">
        <f>ROUND((P110*T110*F110*O110/1000000),4)</f>
        <v>0</v>
      </c>
      <c r="AA110" s="43">
        <f>ROUND((Q110*U110*F110*O110/1000000),4)</f>
        <v>6.7599999999999993E-2</v>
      </c>
      <c r="AB110" s="43">
        <f>ROUND((R110*V110*F110*O110/1000000),4)</f>
        <v>3.3799999999999997E-2</v>
      </c>
      <c r="AC110" s="44" t="s">
        <v>111</v>
      </c>
      <c r="AD110" s="45" t="s">
        <v>95</v>
      </c>
      <c r="AE110" s="30">
        <f>ROUND((((X110*E110)/1800)*0.8),4)</f>
        <v>8.1000000000000003E-2</v>
      </c>
      <c r="AF110" s="30">
        <f>ROUND(((Z110+AA110+AB110)*0.8),4)</f>
        <v>8.1100000000000005E-2</v>
      </c>
      <c r="AG110" s="50"/>
      <c r="AH110" s="50"/>
      <c r="AI110" s="1"/>
      <c r="AJ110" s="1"/>
    </row>
    <row r="111" spans="1:36" ht="12.95" customHeight="1" x14ac:dyDescent="0.25">
      <c r="A111" s="27"/>
      <c r="B111" s="35" t="s">
        <v>191</v>
      </c>
      <c r="C111" s="36"/>
      <c r="D111" s="36"/>
      <c r="E111" s="36"/>
      <c r="F111" s="36"/>
      <c r="G111" s="36"/>
      <c r="H111" s="36"/>
      <c r="I111" s="36"/>
      <c r="J111" s="36"/>
      <c r="K111" s="36"/>
      <c r="L111" s="37"/>
      <c r="M111" s="37"/>
      <c r="N111" s="36"/>
      <c r="O111" s="36"/>
      <c r="P111" s="36"/>
      <c r="Q111" s="36"/>
      <c r="R111" s="36"/>
      <c r="S111" s="46"/>
      <c r="T111" s="47"/>
      <c r="U111" s="47"/>
      <c r="V111" s="47"/>
      <c r="W111" s="47"/>
      <c r="X111" s="47"/>
      <c r="Y111" s="47"/>
      <c r="Z111" s="47"/>
      <c r="AA111" s="47"/>
      <c r="AB111" s="47"/>
      <c r="AC111" s="44" t="s">
        <v>112</v>
      </c>
      <c r="AD111" s="45" t="s">
        <v>113</v>
      </c>
      <c r="AE111" s="30">
        <f>ROUND((((X110*E110)/1800)*0.13),4)</f>
        <v>1.32E-2</v>
      </c>
      <c r="AF111" s="30">
        <f>ROUND(((Z110+AA110+AB110)*0.13),4)</f>
        <v>1.32E-2</v>
      </c>
      <c r="AG111" s="50"/>
      <c r="AH111" s="50"/>
      <c r="AI111" s="1"/>
      <c r="AJ111" s="1"/>
    </row>
    <row r="112" spans="1:36" ht="12.95" customHeight="1" x14ac:dyDescent="0.25">
      <c r="A112" s="27"/>
      <c r="B112" s="50"/>
      <c r="C112" s="39"/>
      <c r="D112" s="39"/>
      <c r="E112" s="36"/>
      <c r="F112" s="36"/>
      <c r="G112" s="36"/>
      <c r="H112" s="36"/>
      <c r="I112" s="36"/>
      <c r="J112" s="36"/>
      <c r="K112" s="36"/>
      <c r="L112" s="40">
        <v>0.51</v>
      </c>
      <c r="M112" s="40">
        <v>0.63</v>
      </c>
      <c r="N112" s="36"/>
      <c r="O112" s="36"/>
      <c r="P112" s="36"/>
      <c r="Q112" s="36"/>
      <c r="R112" s="36"/>
      <c r="S112" s="48">
        <v>0.25</v>
      </c>
      <c r="T112" s="33">
        <f>ROUND((L112*I110+1.3*L112*K110+S112*H110),4)</f>
        <v>186.74250000000001</v>
      </c>
      <c r="U112" s="33">
        <f>ROUND((M112*0.9*I110+1.3*M112*0.9*K110+S112*H110),4)</f>
        <v>205.93729999999999</v>
      </c>
      <c r="V112" s="33">
        <f>ROUND((M112*I110+1.3*M112*K110+S112*H110),4)</f>
        <v>227.1525</v>
      </c>
      <c r="W112" s="33">
        <f>ROUND((L112*J110+1.3*L112*N110+S112*G110),4)</f>
        <v>15.27</v>
      </c>
      <c r="X112" s="33">
        <f>ROUND((M112*0.9*J110+1.3*M112*0.9*N110+S112*G110),4)</f>
        <v>16.809000000000001</v>
      </c>
      <c r="Y112" s="33">
        <f>ROUND((M112*J110+1.3*M112*N110+S112*G110),4)</f>
        <v>18.510000000000002</v>
      </c>
      <c r="Z112" s="43">
        <f>ROUND((P110*T112*F110*O110/1000000),4)</f>
        <v>0</v>
      </c>
      <c r="AA112" s="43">
        <f>ROUND((Q110*U112*F110*O110/1000000),4)</f>
        <v>6.1999999999999998E-3</v>
      </c>
      <c r="AB112" s="43">
        <f>ROUND((R110*V112*F110*O110/1000000),4)</f>
        <v>3.3999999999999998E-3</v>
      </c>
      <c r="AC112" s="44" t="s">
        <v>167</v>
      </c>
      <c r="AD112" s="45" t="s">
        <v>115</v>
      </c>
      <c r="AE112" s="30">
        <f>ROUND((((X112*E110)/1800)),4)</f>
        <v>9.2999999999999992E-3</v>
      </c>
      <c r="AF112" s="30">
        <f>ROUND(((Z112+AA112+AB112)),5)</f>
        <v>9.5999999999999992E-3</v>
      </c>
      <c r="AG112" s="50"/>
      <c r="AH112" s="50"/>
      <c r="AI112" s="1"/>
      <c r="AJ112" s="1"/>
    </row>
    <row r="113" spans="1:36" ht="12.95" customHeight="1" x14ac:dyDescent="0.25">
      <c r="A113" s="27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40">
        <v>1.1399999999999999</v>
      </c>
      <c r="M113" s="40">
        <v>1.37</v>
      </c>
      <c r="N113" s="36"/>
      <c r="O113" s="36"/>
      <c r="P113" s="36"/>
      <c r="Q113" s="36"/>
      <c r="R113" s="36"/>
      <c r="S113" s="49">
        <v>0.79</v>
      </c>
      <c r="T113" s="33">
        <f>ROUND((L113*I110+1.3*L113*K110+S113*H110),4)</f>
        <v>431.29500000000002</v>
      </c>
      <c r="U113" s="33">
        <f>ROUND((M113*0.9*I110+1.3*M113*0.9*K110+S113*H110),4)</f>
        <v>462.61279999999999</v>
      </c>
      <c r="V113" s="33">
        <f>ROUND((M113*I110+1.3*M113*K110+S113*H110),4)</f>
        <v>508.7475</v>
      </c>
      <c r="W113" s="33">
        <f>ROUND((L113*J110+1.3*L113*N110+S113*G110),4)</f>
        <v>35.520000000000003</v>
      </c>
      <c r="X113" s="33">
        <f>ROUND((M113*0.9*J110+1.3*M113*0.9*N110+S113*G110),4)</f>
        <v>38.030999999999999</v>
      </c>
      <c r="Y113" s="33">
        <f>ROUND((M113*J110+1.3*N110+S113*G110),4)</f>
        <v>36.92</v>
      </c>
      <c r="Z113" s="43">
        <f>ROUND((P110*T113*F110*O110/1000000),4)</f>
        <v>0</v>
      </c>
      <c r="AA113" s="43">
        <f>ROUND((Q110*U113*F110*O110/1000000),4)</f>
        <v>1.3899999999999999E-2</v>
      </c>
      <c r="AB113" s="43">
        <f>ROUND((R110*V113*F110*O110/1000000),4)</f>
        <v>7.6E-3</v>
      </c>
      <c r="AC113" s="44" t="s">
        <v>168</v>
      </c>
      <c r="AD113" s="45" t="s">
        <v>169</v>
      </c>
      <c r="AE113" s="30">
        <f>ROUND((((X113*E110)/1800)),4)</f>
        <v>2.1100000000000001E-2</v>
      </c>
      <c r="AF113" s="30">
        <f>ROUND(((Z113+AA113+AB113)),4)</f>
        <v>2.1499999999999998E-2</v>
      </c>
      <c r="AG113" s="50"/>
      <c r="AH113" s="50"/>
      <c r="AI113" s="1"/>
      <c r="AJ113" s="1"/>
    </row>
    <row r="114" spans="1:36" ht="12.95" customHeight="1" x14ac:dyDescent="0.25">
      <c r="A114" s="27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40">
        <v>0.72</v>
      </c>
      <c r="M114" s="40">
        <v>1.08</v>
      </c>
      <c r="N114" s="36"/>
      <c r="O114" s="36"/>
      <c r="P114" s="36"/>
      <c r="Q114" s="36"/>
      <c r="R114" s="36"/>
      <c r="S114" s="49">
        <v>0.17</v>
      </c>
      <c r="T114" s="33">
        <f>ROUND((L114*I110+1.3*L114*K110+S114*H110),4)</f>
        <v>252.66</v>
      </c>
      <c r="U114" s="33">
        <f>ROUND((M114*0.9*I110+1.3*M114*0.9*K110+S114*H110),4)</f>
        <v>337.52100000000002</v>
      </c>
      <c r="V114" s="33">
        <f>ROUND((M114*I110+1.3*M114*K110+S114*H110),4)</f>
        <v>373.89</v>
      </c>
      <c r="W114" s="33">
        <f>ROUND((L114*J110+1.3*L114*N110+S114*G110),4)</f>
        <v>20.46</v>
      </c>
      <c r="X114" s="33">
        <f>ROUND((M114*0.9*J110+1.3*M114*0.9*N110+S114*G110),4)</f>
        <v>27.263999999999999</v>
      </c>
      <c r="Y114" s="33">
        <f>ROUND((M114*J110+1.3*M114*N110+S114*G110),4)</f>
        <v>30.18</v>
      </c>
      <c r="Z114" s="43">
        <f>ROUND((P110*T114*F110*O110/1000000),4)</f>
        <v>0</v>
      </c>
      <c r="AA114" s="43">
        <f>ROUND((Q110*U114*F110*O110/1000000),4)</f>
        <v>1.01E-2</v>
      </c>
      <c r="AB114" s="43">
        <f>ROUND((R110*V114*F110*O110/1000000),4)</f>
        <v>5.5999999999999999E-3</v>
      </c>
      <c r="AC114" s="44" t="s">
        <v>170</v>
      </c>
      <c r="AD114" s="45" t="s">
        <v>119</v>
      </c>
      <c r="AE114" s="30">
        <f>ROUND((((X114*E110)/1800)),4)</f>
        <v>1.5100000000000001E-2</v>
      </c>
      <c r="AF114" s="30">
        <f>ROUND(((Z114+AA114+AB114)),4)</f>
        <v>1.5699999999999999E-2</v>
      </c>
      <c r="AG114" s="50"/>
      <c r="AH114" s="50"/>
      <c r="AI114" s="1"/>
      <c r="AJ114" s="1"/>
    </row>
    <row r="115" spans="1:36" ht="12.95" customHeight="1" x14ac:dyDescent="0.25">
      <c r="A115" s="27"/>
      <c r="B115" s="41"/>
      <c r="C115" s="37"/>
      <c r="D115" s="37"/>
      <c r="E115" s="37"/>
      <c r="F115" s="37"/>
      <c r="G115" s="37"/>
      <c r="H115" s="37"/>
      <c r="I115" s="37"/>
      <c r="J115" s="37"/>
      <c r="K115" s="37"/>
      <c r="L115" s="40">
        <v>3.37</v>
      </c>
      <c r="M115" s="40">
        <v>4.1100000000000003</v>
      </c>
      <c r="N115" s="37"/>
      <c r="O115" s="37"/>
      <c r="P115" s="37"/>
      <c r="Q115" s="37"/>
      <c r="R115" s="37"/>
      <c r="S115" s="49">
        <v>6.31</v>
      </c>
      <c r="T115" s="33">
        <f>ROUND((L115*I110+1.3*L115*K110+S115*H110),4)</f>
        <v>1513.4475</v>
      </c>
      <c r="U115" s="33">
        <f>ROUND((M115*0.9*I110+1.3*M115*0.9*K110+S115*H110),4)</f>
        <v>1624.2383</v>
      </c>
      <c r="V115" s="33">
        <f>ROUND((M115*I110+1.3*M115*K110+S115*H110),4)</f>
        <v>1762.6424999999999</v>
      </c>
      <c r="W115" s="33">
        <f>ROUND((L115*J110+1.3*L115*N110+S115*G110),4)</f>
        <v>128.85</v>
      </c>
      <c r="X115" s="33">
        <f>ROUND((M115*0.9*J110+1.3*M115*0.9*N110+S115*G110),4)</f>
        <v>137.733</v>
      </c>
      <c r="Y115" s="33">
        <f>ROUND((M115*J110+1.3*M115*N110+S115*G110),4)</f>
        <v>148.83000000000001</v>
      </c>
      <c r="Z115" s="43">
        <f>ROUND((P110*T115*F110*O110/1000000),4)</f>
        <v>0</v>
      </c>
      <c r="AA115" s="43">
        <f>ROUND((Q110*U115*F110*O110/1000000),4)</f>
        <v>4.87E-2</v>
      </c>
      <c r="AB115" s="43">
        <f>ROUND((R110*V115*F110*O110/1000000),4)</f>
        <v>2.64E-2</v>
      </c>
      <c r="AC115" s="44" t="s">
        <v>171</v>
      </c>
      <c r="AD115" s="45" t="s">
        <v>104</v>
      </c>
      <c r="AE115" s="30">
        <f>ROUND((((X115*E110)/1800)),4)</f>
        <v>7.6499999999999999E-2</v>
      </c>
      <c r="AF115" s="30">
        <f>ROUND(((Z115+AA115+AB115)),4)</f>
        <v>7.51E-2</v>
      </c>
      <c r="AG115" s="50"/>
      <c r="AH115" s="50"/>
      <c r="AI115" s="1"/>
      <c r="AJ115" s="1"/>
    </row>
    <row r="116" spans="1:36" ht="12.95" customHeight="1" x14ac:dyDescent="0.25">
      <c r="A116" s="36"/>
      <c r="B116" s="50" t="s">
        <v>181</v>
      </c>
      <c r="C116" s="31">
        <v>7</v>
      </c>
      <c r="D116" s="32" t="s">
        <v>179</v>
      </c>
      <c r="E116" s="32">
        <v>1</v>
      </c>
      <c r="F116" s="32">
        <v>1</v>
      </c>
      <c r="G116" s="32">
        <v>6</v>
      </c>
      <c r="H116" s="32">
        <v>60</v>
      </c>
      <c r="I116" s="32">
        <f>(8-1-0.75*2)*60*F116-K116-8*0.12*60</f>
        <v>57.900000000000006</v>
      </c>
      <c r="J116" s="32">
        <v>14</v>
      </c>
      <c r="K116" s="32">
        <f>(8-1-0.75*2)*0.65*60*F116</f>
        <v>214.5</v>
      </c>
      <c r="L116" s="33">
        <v>10.16</v>
      </c>
      <c r="M116" s="33">
        <v>10.16</v>
      </c>
      <c r="N116" s="32">
        <v>10</v>
      </c>
      <c r="O116" s="32">
        <f>E116/F116</f>
        <v>1</v>
      </c>
      <c r="P116" s="32">
        <v>0</v>
      </c>
      <c r="Q116" s="32">
        <v>60</v>
      </c>
      <c r="R116" s="42">
        <v>60</v>
      </c>
      <c r="S116" s="42">
        <v>1.99</v>
      </c>
      <c r="T116" s="33">
        <f>ROUND((L116*I116+1.3*L116*K116+S116*H116),4)</f>
        <v>3540.78</v>
      </c>
      <c r="U116" s="33">
        <f>ROUND((M116*I116+1.3*M116*K116+S116*H116),4)</f>
        <v>3540.78</v>
      </c>
      <c r="V116" s="33">
        <f>ROUND((M116*I116+1.3*M116*K116+S116*H116),4)</f>
        <v>3540.78</v>
      </c>
      <c r="W116" s="33">
        <f>ROUND((L116*J116+1.3*L116*N116+S116*G116),4)</f>
        <v>286.26</v>
      </c>
      <c r="X116" s="33">
        <f>ROUND((M116*J116+1.3*M116*N116+S116*G116),4)</f>
        <v>286.26</v>
      </c>
      <c r="Y116" s="33">
        <f>ROUND((M116*J116+1.3*M116*N116+S116*G116),4)</f>
        <v>286.26</v>
      </c>
      <c r="Z116" s="43">
        <f>ROUND((P116*T116*F116*O116/1000000),4)</f>
        <v>0</v>
      </c>
      <c r="AA116" s="43">
        <f>ROUND((Q116*U116*F116*O116/1000000),4)</f>
        <v>0.21240000000000001</v>
      </c>
      <c r="AB116" s="43">
        <f>ROUND((R116*V116*F116*O116/1000000),4)</f>
        <v>0.21240000000000001</v>
      </c>
      <c r="AC116" s="44" t="s">
        <v>111</v>
      </c>
      <c r="AD116" s="45" t="s">
        <v>95</v>
      </c>
      <c r="AE116" s="30">
        <f>ROUND((((X116*E116)/1800)*0.8),4)</f>
        <v>0.12720000000000001</v>
      </c>
      <c r="AF116" s="30">
        <f>ROUND(((Z116+AA116+AB116)*0.8),4)</f>
        <v>0.33979999999999999</v>
      </c>
      <c r="AG116" s="50"/>
      <c r="AH116" s="50"/>
    </row>
    <row r="117" spans="1:36" ht="12.95" customHeight="1" x14ac:dyDescent="0.25">
      <c r="A117" s="36"/>
      <c r="B117" s="35" t="s">
        <v>182</v>
      </c>
      <c r="C117" s="36"/>
      <c r="D117" s="36"/>
      <c r="E117" s="36"/>
      <c r="F117" s="36"/>
      <c r="G117" s="36"/>
      <c r="H117" s="36"/>
      <c r="I117" s="36"/>
      <c r="J117" s="36"/>
      <c r="K117" s="36"/>
      <c r="L117" s="37"/>
      <c r="M117" s="37"/>
      <c r="N117" s="36"/>
      <c r="O117" s="36"/>
      <c r="P117" s="36"/>
      <c r="Q117" s="36"/>
      <c r="R117" s="36"/>
      <c r="S117" s="46"/>
      <c r="T117" s="47"/>
      <c r="U117" s="47"/>
      <c r="V117" s="47"/>
      <c r="W117" s="47"/>
      <c r="X117" s="47"/>
      <c r="Y117" s="47"/>
      <c r="Z117" s="47"/>
      <c r="AA117" s="47"/>
      <c r="AB117" s="47"/>
      <c r="AC117" s="44" t="s">
        <v>112</v>
      </c>
      <c r="AD117" s="45" t="s">
        <v>113</v>
      </c>
      <c r="AE117" s="30">
        <f>ROUND((((X116*E116)/1800)*0.13),4)</f>
        <v>2.07E-2</v>
      </c>
      <c r="AF117" s="30">
        <f>ROUND(((Z116+AA116+AB116)*0.13),4)</f>
        <v>5.5199999999999999E-2</v>
      </c>
      <c r="AG117" s="50"/>
      <c r="AH117" s="50"/>
    </row>
    <row r="118" spans="1:36" ht="12.95" customHeight="1" x14ac:dyDescent="0.25">
      <c r="A118" s="36"/>
      <c r="C118" s="39"/>
      <c r="D118" s="39"/>
      <c r="E118" s="36"/>
      <c r="F118" s="36"/>
      <c r="G118" s="36"/>
      <c r="H118" s="36"/>
      <c r="I118" s="36"/>
      <c r="J118" s="36"/>
      <c r="K118" s="36"/>
      <c r="L118" s="40">
        <v>0.8</v>
      </c>
      <c r="M118" s="40">
        <v>0.98</v>
      </c>
      <c r="N118" s="36"/>
      <c r="O118" s="36"/>
      <c r="P118" s="36"/>
      <c r="Q118" s="36"/>
      <c r="R118" s="36"/>
      <c r="S118" s="48">
        <v>0.39</v>
      </c>
      <c r="T118" s="33">
        <f>ROUND((L118*I116+1.3*L118*K116+S118*H116),4)</f>
        <v>292.8</v>
      </c>
      <c r="U118" s="33">
        <f>ROUND((M118*0.9*I116+1.3*M118*0.9*K116+S118*H116),4)</f>
        <v>320.4135</v>
      </c>
      <c r="V118" s="33">
        <f>ROUND((M118*I116+1.3*M118*K116+S118*H116),4)</f>
        <v>353.41500000000002</v>
      </c>
      <c r="W118" s="33">
        <f>ROUND((L118*J116+1.3*L118*N116+S118*G116),4)</f>
        <v>23.94</v>
      </c>
      <c r="X118" s="33">
        <f>ROUND((M118*0.9*J116+1.3*M118*0.9*N116+S118*G116),4)</f>
        <v>26.154</v>
      </c>
      <c r="Y118" s="33">
        <f>ROUND((M118*J116+1.3*M118*N116+S118*G116),4)</f>
        <v>28.8</v>
      </c>
      <c r="Z118" s="43">
        <f>ROUND((P116*T118*F116*O116/1000000),4)</f>
        <v>0</v>
      </c>
      <c r="AA118" s="43">
        <f>ROUND((Q116*U118*F116*O116/1000000),4)</f>
        <v>1.9199999999999998E-2</v>
      </c>
      <c r="AB118" s="43">
        <f>ROUND((R116*V118*F116*O116/1000000),4)</f>
        <v>2.12E-2</v>
      </c>
      <c r="AC118" s="44" t="s">
        <v>167</v>
      </c>
      <c r="AD118" s="45" t="s">
        <v>115</v>
      </c>
      <c r="AE118" s="30">
        <f>ROUND((((X118*E116)/1800)),4)</f>
        <v>1.4500000000000001E-2</v>
      </c>
      <c r="AF118" s="30">
        <f>ROUND(((Z118+AA118+AB118)),5)</f>
        <v>4.0399999999999998E-2</v>
      </c>
      <c r="AG118" s="50"/>
      <c r="AH118" s="50"/>
    </row>
    <row r="119" spans="1:36" ht="12.95" customHeight="1" x14ac:dyDescent="0.25">
      <c r="A119" s="36"/>
      <c r="C119" s="36"/>
      <c r="D119" s="36"/>
      <c r="E119" s="36"/>
      <c r="F119" s="36"/>
      <c r="G119" s="36"/>
      <c r="H119" s="36"/>
      <c r="I119" s="36"/>
      <c r="J119" s="36"/>
      <c r="K119" s="36"/>
      <c r="L119" s="40">
        <v>1.79</v>
      </c>
      <c r="M119" s="40">
        <v>2.15</v>
      </c>
      <c r="N119" s="36"/>
      <c r="O119" s="36"/>
      <c r="P119" s="36"/>
      <c r="Q119" s="36"/>
      <c r="R119" s="36"/>
      <c r="S119" s="49">
        <v>1.24</v>
      </c>
      <c r="T119" s="33">
        <f>ROUND((L119*I116+1.3*L119*K116+S119*H116),4)</f>
        <v>677.1825</v>
      </c>
      <c r="U119" s="33">
        <f>ROUND((M119*0.9*I116+1.3*M119*0.9*K116+S119*H116),4)</f>
        <v>726.01130000000001</v>
      </c>
      <c r="V119" s="33">
        <f>ROUND((M119*I116+1.3*M119*K116+S119*H116),4)</f>
        <v>798.41250000000002</v>
      </c>
      <c r="W119" s="33">
        <f>ROUND((L119*J116+1.3*L119*N116+S119*G116),4)</f>
        <v>55.77</v>
      </c>
      <c r="X119" s="33">
        <f>ROUND((M119*0.9*J116+1.3*M119*0.9*N116+S119*G116),4)</f>
        <v>59.685000000000002</v>
      </c>
      <c r="Y119" s="33">
        <f>ROUND((M119*J116+1.3*N116+S119*G116),4)</f>
        <v>50.54</v>
      </c>
      <c r="Z119" s="43">
        <f>ROUND((P116*T119*F116*O116/1000000),4)</f>
        <v>0</v>
      </c>
      <c r="AA119" s="43">
        <f>ROUND((Q116*U119*F116*O116/1000000),4)</f>
        <v>4.36E-2</v>
      </c>
      <c r="AB119" s="43">
        <f>ROUND((R116*V119*F116*O116/1000000),4)</f>
        <v>4.7899999999999998E-2</v>
      </c>
      <c r="AC119" s="44" t="s">
        <v>168</v>
      </c>
      <c r="AD119" s="45" t="s">
        <v>169</v>
      </c>
      <c r="AE119" s="30">
        <f>ROUND((((X119*E116)/1800)),4)</f>
        <v>3.32E-2</v>
      </c>
      <c r="AF119" s="30">
        <f>ROUND(((Z119+AA119+AB119)),4)</f>
        <v>9.1499999999999998E-2</v>
      </c>
      <c r="AG119" s="50"/>
      <c r="AH119" s="50"/>
    </row>
    <row r="120" spans="1:36" ht="12.95" customHeight="1" x14ac:dyDescent="0.25">
      <c r="A120" s="36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40">
        <v>1.1299999999999999</v>
      </c>
      <c r="M120" s="40">
        <v>1.7</v>
      </c>
      <c r="N120" s="36"/>
      <c r="O120" s="36"/>
      <c r="P120" s="36"/>
      <c r="Q120" s="36"/>
      <c r="R120" s="36"/>
      <c r="S120" s="49">
        <v>0.26</v>
      </c>
      <c r="T120" s="33">
        <f>ROUND((L120*I116+1.3*L120*K116+S120*H116),4)</f>
        <v>396.1275</v>
      </c>
      <c r="U120" s="33">
        <f>ROUND((M120*0.9*I116+1.3*M120*0.9*K116+S120*H116),4)</f>
        <v>530.82749999999999</v>
      </c>
      <c r="V120" s="33">
        <f>ROUND((M120*I116+1.3*M120*K116+S120*H116),4)</f>
        <v>588.07500000000005</v>
      </c>
      <c r="W120" s="33">
        <f>ROUND((L120*J116+1.3*L120*N116+S120*G116),4)</f>
        <v>32.07</v>
      </c>
      <c r="X120" s="33">
        <f>ROUND((M120*0.9*J116+1.3*M120*0.9*N116+S120*G116),4)</f>
        <v>42.87</v>
      </c>
      <c r="Y120" s="33">
        <f>ROUND((M120*J116+1.3*M120*N116+S120*G116),4)</f>
        <v>47.46</v>
      </c>
      <c r="Z120" s="43">
        <f>ROUND((P116*T120*F116*O116/1000000),4)</f>
        <v>0</v>
      </c>
      <c r="AA120" s="43">
        <f>ROUND((Q116*U120*F116*O116/1000000),4)</f>
        <v>3.1800000000000002E-2</v>
      </c>
      <c r="AB120" s="43">
        <f>ROUND((R116*V120*F116*O116/1000000),4)</f>
        <v>3.5299999999999998E-2</v>
      </c>
      <c r="AC120" s="44" t="s">
        <v>170</v>
      </c>
      <c r="AD120" s="45" t="s">
        <v>119</v>
      </c>
      <c r="AE120" s="30">
        <f>ROUND((((X120*E116)/1800)),4)</f>
        <v>2.3800000000000002E-2</v>
      </c>
      <c r="AF120" s="30">
        <f>ROUND(((Z120+AA120+AB120)),4)</f>
        <v>6.7100000000000007E-2</v>
      </c>
      <c r="AG120" s="50"/>
      <c r="AH120" s="50"/>
    </row>
    <row r="121" spans="1:36" ht="12.95" customHeight="1" x14ac:dyDescent="0.25">
      <c r="A121" s="36"/>
      <c r="B121" s="41"/>
      <c r="C121" s="37"/>
      <c r="D121" s="37"/>
      <c r="E121" s="37"/>
      <c r="F121" s="37"/>
      <c r="G121" s="37"/>
      <c r="H121" s="37"/>
      <c r="I121" s="37"/>
      <c r="J121" s="37"/>
      <c r="K121" s="37"/>
      <c r="L121" s="40">
        <v>5.3</v>
      </c>
      <c r="M121" s="40">
        <v>6.47</v>
      </c>
      <c r="N121" s="37"/>
      <c r="O121" s="37"/>
      <c r="P121" s="37"/>
      <c r="Q121" s="37"/>
      <c r="R121" s="37"/>
      <c r="S121" s="49">
        <v>9.92</v>
      </c>
      <c r="T121" s="33">
        <f>ROUND((L121*I116+1.3*L121*K116+S121*H116),4)</f>
        <v>2379.9749999999999</v>
      </c>
      <c r="U121" s="33">
        <f>ROUND((M121*0.9*I116+1.3*M121*0.9*K116+S121*H116),4)</f>
        <v>2556.0953</v>
      </c>
      <c r="V121" s="33">
        <f>ROUND((M121*I116+1.3*M121*K116+S121*H116),4)</f>
        <v>2773.9724999999999</v>
      </c>
      <c r="W121" s="33">
        <f>ROUND((L121*J116+1.3*L121*N116+S121*G116),4)</f>
        <v>202.62</v>
      </c>
      <c r="X121" s="33">
        <f>ROUND((M121*0.9*J116+1.3*M121*0.9*N116+S121*G116),4)</f>
        <v>216.74100000000001</v>
      </c>
      <c r="Y121" s="33">
        <f>ROUND((M121*J116+1.3*M121*N116+S121*G116),4)</f>
        <v>234.21</v>
      </c>
      <c r="Z121" s="43">
        <f>ROUND((P116*T121*F116*O116/1000000),4)</f>
        <v>0</v>
      </c>
      <c r="AA121" s="43">
        <f>ROUND((Q116*U121*F116*O116/1000000),4)</f>
        <v>0.15340000000000001</v>
      </c>
      <c r="AB121" s="43">
        <f>ROUND((R116*V121*F116*O116/1000000),4)</f>
        <v>0.16639999999999999</v>
      </c>
      <c r="AC121" s="44" t="s">
        <v>171</v>
      </c>
      <c r="AD121" s="45" t="s">
        <v>104</v>
      </c>
      <c r="AE121" s="30">
        <f>ROUND((((X121*E116)/1800)),4)</f>
        <v>0.12039999999999999</v>
      </c>
      <c r="AF121" s="30">
        <f>ROUND(((Z121+AA121+AB121)),4)</f>
        <v>0.31979999999999997</v>
      </c>
      <c r="AG121" s="50"/>
      <c r="AH121" s="50"/>
    </row>
    <row r="122" spans="1:36" ht="12.95" customHeight="1" x14ac:dyDescent="0.25">
      <c r="A122" s="56"/>
      <c r="B122" s="31" t="s">
        <v>192</v>
      </c>
      <c r="C122" s="31">
        <v>6</v>
      </c>
      <c r="D122" s="32" t="s">
        <v>175</v>
      </c>
      <c r="E122" s="32">
        <v>1</v>
      </c>
      <c r="F122" s="32">
        <v>2</v>
      </c>
      <c r="G122" s="32">
        <v>6</v>
      </c>
      <c r="H122" s="32">
        <v>60</v>
      </c>
      <c r="I122" s="32">
        <f>(8-1-0.75*2)*60*F122-K122-8*0.12*60</f>
        <v>173.4</v>
      </c>
      <c r="J122" s="32">
        <v>14</v>
      </c>
      <c r="K122" s="32">
        <f>(8-1-0.75*2)*0.65*60*F122</f>
        <v>429</v>
      </c>
      <c r="L122" s="33">
        <v>6.47</v>
      </c>
      <c r="M122" s="33">
        <v>6.47</v>
      </c>
      <c r="N122" s="32">
        <v>10</v>
      </c>
      <c r="O122" s="32">
        <f>E122/F122</f>
        <v>0.5</v>
      </c>
      <c r="P122" s="32">
        <v>0</v>
      </c>
      <c r="Q122" s="32">
        <v>30</v>
      </c>
      <c r="R122" s="42">
        <v>30</v>
      </c>
      <c r="S122" s="42">
        <v>1.27</v>
      </c>
      <c r="T122" s="33">
        <f>ROUND((L122*I122+1.3*L122*K122+S122*H122),4)</f>
        <v>4806.4170000000004</v>
      </c>
      <c r="U122" s="33">
        <f>ROUND((M122*I122+1.3*M122*K122+S122*H122),4)</f>
        <v>4806.4170000000004</v>
      </c>
      <c r="V122" s="33">
        <f>ROUND((M122*I122+1.3*M122*K122+S122*H122),4)</f>
        <v>4806.4170000000004</v>
      </c>
      <c r="W122" s="33">
        <f>ROUND((L122*J122+1.3*L122*N122+S122*G122),4)</f>
        <v>182.31</v>
      </c>
      <c r="X122" s="33">
        <f>ROUND((M122*J122+1.3*M122*N122+S122*G122),4)</f>
        <v>182.31</v>
      </c>
      <c r="Y122" s="33">
        <f>ROUND((M122*J122+1.3*M122*N122+S122*G122),4)</f>
        <v>182.31</v>
      </c>
      <c r="Z122" s="43">
        <f>ROUND((P122*T122*F122*O122/1000000),4)</f>
        <v>0</v>
      </c>
      <c r="AA122" s="43">
        <f>ROUND((Q122*U122*F122*O122/1000000),4)</f>
        <v>0.14419999999999999</v>
      </c>
      <c r="AB122" s="43">
        <f>ROUND((R122*V122*F122*O122/1000000),4)</f>
        <v>0.14419999999999999</v>
      </c>
      <c r="AC122" s="44" t="s">
        <v>111</v>
      </c>
      <c r="AD122" s="45" t="s">
        <v>95</v>
      </c>
      <c r="AE122" s="30">
        <f>ROUND((((X122*E122)/1800)*0.8),4)</f>
        <v>8.1000000000000003E-2</v>
      </c>
      <c r="AF122" s="30">
        <f>ROUND(((Z122+AA122+AB122)*0.8),4)</f>
        <v>0.23069999999999999</v>
      </c>
      <c r="AG122" s="50"/>
      <c r="AH122" s="50"/>
      <c r="AI122" s="1"/>
      <c r="AJ122" s="1"/>
    </row>
    <row r="123" spans="1:36" ht="12.95" customHeight="1" x14ac:dyDescent="0.25">
      <c r="A123" s="56"/>
      <c r="B123" s="35" t="s">
        <v>193</v>
      </c>
      <c r="C123" s="36"/>
      <c r="D123" s="36"/>
      <c r="E123" s="36"/>
      <c r="F123" s="36"/>
      <c r="G123" s="36"/>
      <c r="H123" s="36"/>
      <c r="I123" s="36"/>
      <c r="J123" s="36"/>
      <c r="K123" s="36"/>
      <c r="L123" s="37"/>
      <c r="M123" s="37"/>
      <c r="N123" s="36"/>
      <c r="O123" s="36"/>
      <c r="P123" s="36"/>
      <c r="Q123" s="36"/>
      <c r="R123" s="36"/>
      <c r="S123" s="46"/>
      <c r="T123" s="47"/>
      <c r="U123" s="47"/>
      <c r="V123" s="47"/>
      <c r="W123" s="47"/>
      <c r="X123" s="47"/>
      <c r="Y123" s="47"/>
      <c r="Z123" s="47"/>
      <c r="AA123" s="47"/>
      <c r="AB123" s="47"/>
      <c r="AC123" s="44" t="s">
        <v>112</v>
      </c>
      <c r="AD123" s="45" t="s">
        <v>113</v>
      </c>
      <c r="AE123" s="30">
        <f>ROUND((((X122*E122)/1800)*0.13),4)</f>
        <v>1.32E-2</v>
      </c>
      <c r="AF123" s="30">
        <f>ROUND(((Z122+AA122+AB122)*0.13),4)</f>
        <v>3.7499999999999999E-2</v>
      </c>
      <c r="AG123" s="50"/>
      <c r="AH123" s="50"/>
      <c r="AI123" s="1"/>
      <c r="AJ123" s="1"/>
    </row>
    <row r="124" spans="1:36" ht="12.95" customHeight="1" x14ac:dyDescent="0.25">
      <c r="A124" s="56"/>
      <c r="B124" s="50"/>
      <c r="C124" s="39"/>
      <c r="D124" s="39"/>
      <c r="E124" s="36"/>
      <c r="F124" s="36"/>
      <c r="G124" s="36"/>
      <c r="H124" s="36"/>
      <c r="I124" s="36"/>
      <c r="J124" s="36"/>
      <c r="K124" s="36"/>
      <c r="L124" s="40">
        <v>0.51</v>
      </c>
      <c r="M124" s="40">
        <v>0.63</v>
      </c>
      <c r="N124" s="36"/>
      <c r="O124" s="36"/>
      <c r="P124" s="36"/>
      <c r="Q124" s="36"/>
      <c r="R124" s="36"/>
      <c r="S124" s="48">
        <v>0.25</v>
      </c>
      <c r="T124" s="33">
        <f>ROUND((L124*I122+1.3*L124*K122+S124*H122),4)</f>
        <v>387.86099999999999</v>
      </c>
      <c r="U124" s="33">
        <f>ROUND((M124*0.9*I122+1.3*M124*0.9*K122+S124*H122),4)</f>
        <v>429.53370000000001</v>
      </c>
      <c r="V124" s="33">
        <f>ROUND((M124*I122+1.3*M124*K122+S124*H122),4)</f>
        <v>475.59300000000002</v>
      </c>
      <c r="W124" s="33">
        <f>ROUND((L124*J122+1.3*L124*N122+S124*G122),4)</f>
        <v>15.27</v>
      </c>
      <c r="X124" s="33">
        <f>ROUND((M124*0.9*J122+1.3*M124*0.9*N122+S124*G122),4)</f>
        <v>16.809000000000001</v>
      </c>
      <c r="Y124" s="33">
        <f>ROUND((M124*J122+1.3*M124*N122+S124*G122),4)</f>
        <v>18.510000000000002</v>
      </c>
      <c r="Z124" s="43">
        <f>ROUND((P122*T124*F122*O122/1000000),4)</f>
        <v>0</v>
      </c>
      <c r="AA124" s="43">
        <f>ROUND((Q122*U124*F122*O122/1000000),4)</f>
        <v>1.29E-2</v>
      </c>
      <c r="AB124" s="43">
        <f>ROUND((R122*V124*F122*O122/1000000),4)</f>
        <v>1.43E-2</v>
      </c>
      <c r="AC124" s="44" t="s">
        <v>167</v>
      </c>
      <c r="AD124" s="45" t="s">
        <v>115</v>
      </c>
      <c r="AE124" s="30">
        <f>ROUND((((X124*E122)/1800)),4)</f>
        <v>9.2999999999999992E-3</v>
      </c>
      <c r="AF124" s="30">
        <f>ROUND(((Z124+AA124+AB124)),5)</f>
        <v>2.7199999999999998E-2</v>
      </c>
      <c r="AG124" s="50"/>
      <c r="AH124" s="50"/>
      <c r="AI124" s="1"/>
      <c r="AJ124" s="1"/>
    </row>
    <row r="125" spans="1:36" ht="12.95" customHeight="1" x14ac:dyDescent="0.25">
      <c r="A125" s="56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40">
        <v>1.1399999999999999</v>
      </c>
      <c r="M125" s="40">
        <v>1.37</v>
      </c>
      <c r="N125" s="36"/>
      <c r="O125" s="36"/>
      <c r="P125" s="36"/>
      <c r="Q125" s="36"/>
      <c r="R125" s="36"/>
      <c r="S125" s="49">
        <v>0.79</v>
      </c>
      <c r="T125" s="33">
        <f>ROUND((L125*I122+1.3*L125*K122+S125*H122),4)</f>
        <v>880.85400000000004</v>
      </c>
      <c r="U125" s="33">
        <f>ROUND((M125*0.9*I122+1.3*M125*0.9*K122+S125*H122),4)</f>
        <v>948.84630000000004</v>
      </c>
      <c r="V125" s="33">
        <f>ROUND((M125*I122+1.3*M125*K122+S125*H122),4)</f>
        <v>1049.0070000000001</v>
      </c>
      <c r="W125" s="33">
        <f>ROUND((L125*J122+1.3*L125*N122+S125*G122),4)</f>
        <v>35.520000000000003</v>
      </c>
      <c r="X125" s="33">
        <f>ROUND((M125*0.9*J122+1.3*M125*0.9*N122+S125*G122),4)</f>
        <v>38.030999999999999</v>
      </c>
      <c r="Y125" s="33">
        <f>ROUND((M125*J122+1.3*N122+S125*G122),4)</f>
        <v>36.92</v>
      </c>
      <c r="Z125" s="43">
        <f>ROUND((P122*T125*F122*O122/1000000),4)</f>
        <v>0</v>
      </c>
      <c r="AA125" s="43">
        <f>ROUND((Q122*U125*F122*O122/1000000),4)</f>
        <v>2.8500000000000001E-2</v>
      </c>
      <c r="AB125" s="43">
        <f>ROUND((R122*V125*F122*O122/1000000),4)</f>
        <v>3.15E-2</v>
      </c>
      <c r="AC125" s="44" t="s">
        <v>168</v>
      </c>
      <c r="AD125" s="45" t="s">
        <v>169</v>
      </c>
      <c r="AE125" s="30">
        <f>ROUND((((X125*E122)/1800)),4)</f>
        <v>2.1100000000000001E-2</v>
      </c>
      <c r="AF125" s="30">
        <f>ROUND(((Z125+AA125+AB125)),4)</f>
        <v>0.06</v>
      </c>
      <c r="AG125" s="50"/>
      <c r="AH125" s="50"/>
      <c r="AI125" s="1"/>
      <c r="AJ125" s="1"/>
    </row>
    <row r="126" spans="1:36" ht="12.95" customHeight="1" x14ac:dyDescent="0.25">
      <c r="A126" s="56"/>
      <c r="B126" s="35"/>
      <c r="C126" s="36"/>
      <c r="D126" s="36"/>
      <c r="E126" s="36"/>
      <c r="F126" s="36"/>
      <c r="G126" s="36"/>
      <c r="H126" s="36"/>
      <c r="I126" s="36"/>
      <c r="J126" s="36"/>
      <c r="K126" s="36"/>
      <c r="L126" s="40">
        <v>0.72</v>
      </c>
      <c r="M126" s="40">
        <v>1.08</v>
      </c>
      <c r="N126" s="36"/>
      <c r="O126" s="36"/>
      <c r="P126" s="36"/>
      <c r="Q126" s="36"/>
      <c r="R126" s="36"/>
      <c r="S126" s="49">
        <v>0.17</v>
      </c>
      <c r="T126" s="33">
        <f>ROUND((L126*I122+1.3*L126*K122+S126*H122),4)</f>
        <v>536.59199999999998</v>
      </c>
      <c r="U126" s="33">
        <f>ROUND((M126*0.9*I122+1.3*M126*0.9*K122+S126*H122),4)</f>
        <v>720.82920000000001</v>
      </c>
      <c r="V126" s="33">
        <f>ROUND((M126*I122+1.3*M126*K122+S126*H122),4)</f>
        <v>799.78800000000001</v>
      </c>
      <c r="W126" s="33">
        <f>ROUND((L126*J122+1.3*L126*N122+S126*G122),4)</f>
        <v>20.46</v>
      </c>
      <c r="X126" s="33">
        <f>ROUND((M126*0.9*J122+1.3*M126*0.9*N122+S126*G122),4)</f>
        <v>27.263999999999999</v>
      </c>
      <c r="Y126" s="33">
        <f>ROUND((M126*J122+1.3*M126*N122+S126*G122),4)</f>
        <v>30.18</v>
      </c>
      <c r="Z126" s="43">
        <f>ROUND((P122*T126*F122*O122/1000000),4)</f>
        <v>0</v>
      </c>
      <c r="AA126" s="43">
        <f>ROUND((Q122*U126*F122*O122/1000000),4)</f>
        <v>2.1600000000000001E-2</v>
      </c>
      <c r="AB126" s="43">
        <f>ROUND((R122*V126*F122*O122/1000000),4)</f>
        <v>2.4E-2</v>
      </c>
      <c r="AC126" s="44" t="s">
        <v>170</v>
      </c>
      <c r="AD126" s="45" t="s">
        <v>119</v>
      </c>
      <c r="AE126" s="30">
        <f>ROUND((((X126*E122)/1800)),4)</f>
        <v>1.5100000000000001E-2</v>
      </c>
      <c r="AF126" s="30">
        <f>ROUND(((Z126+AA126+AB126)),4)</f>
        <v>4.5600000000000002E-2</v>
      </c>
      <c r="AG126" s="50"/>
      <c r="AH126" s="50"/>
      <c r="AI126" s="1"/>
      <c r="AJ126" s="1"/>
    </row>
    <row r="127" spans="1:36" ht="12.95" customHeight="1" x14ac:dyDescent="0.25">
      <c r="A127" s="56"/>
      <c r="B127" s="41"/>
      <c r="C127" s="37"/>
      <c r="D127" s="37"/>
      <c r="E127" s="37"/>
      <c r="F127" s="37"/>
      <c r="G127" s="37"/>
      <c r="H127" s="37"/>
      <c r="I127" s="37"/>
      <c r="J127" s="37"/>
      <c r="K127" s="37"/>
      <c r="L127" s="40">
        <v>3.37</v>
      </c>
      <c r="M127" s="40">
        <v>4.1100000000000003</v>
      </c>
      <c r="N127" s="37"/>
      <c r="O127" s="37"/>
      <c r="P127" s="37"/>
      <c r="Q127" s="37"/>
      <c r="R127" s="37"/>
      <c r="S127" s="49">
        <v>6.31</v>
      </c>
      <c r="T127" s="33">
        <f>ROUND((L127*I122+1.3*L127*K122+S127*H122),4)</f>
        <v>2842.4070000000002</v>
      </c>
      <c r="U127" s="33">
        <f>ROUND((M127*0.9*I122+1.3*M127*0.9*K122+S127*H122),4)</f>
        <v>3082.9389000000001</v>
      </c>
      <c r="V127" s="33">
        <f>ROUND((M127*I122+1.3*M127*K122+S127*H122),4)</f>
        <v>3383.4209999999998</v>
      </c>
      <c r="W127" s="33">
        <f>ROUND((L127*J122+1.3*L127*N122+S127*G122),4)</f>
        <v>128.85</v>
      </c>
      <c r="X127" s="33">
        <f>ROUND((M127*0.9*J122+1.3*M127*0.9*N122+S127*G122),4)</f>
        <v>137.733</v>
      </c>
      <c r="Y127" s="33">
        <f>ROUND((M127*J122+1.3*M127*N122+S127*G122),4)</f>
        <v>148.83000000000001</v>
      </c>
      <c r="Z127" s="43">
        <f>ROUND((P122*T127*F122*O122/1000000),4)</f>
        <v>0</v>
      </c>
      <c r="AA127" s="43">
        <f>ROUND((Q122*U127*F122*O122/1000000),4)</f>
        <v>9.2499999999999999E-2</v>
      </c>
      <c r="AB127" s="43">
        <f>ROUND((R122*V127*F122*O122/1000000),4)</f>
        <v>0.10150000000000001</v>
      </c>
      <c r="AC127" s="44" t="s">
        <v>171</v>
      </c>
      <c r="AD127" s="45" t="s">
        <v>104</v>
      </c>
      <c r="AE127" s="30">
        <f>ROUND((((X127*E122)/1800)),4)</f>
        <v>7.6499999999999999E-2</v>
      </c>
      <c r="AF127" s="30">
        <f>ROUND(((Z127+AA127+AB127)),4)</f>
        <v>0.19400000000000001</v>
      </c>
      <c r="AG127" s="50"/>
      <c r="AH127" s="50"/>
      <c r="AI127" s="1"/>
      <c r="AJ127" s="1"/>
    </row>
    <row r="128" spans="1:36" ht="12.95" customHeight="1" x14ac:dyDescent="0.25">
      <c r="A128" s="36"/>
      <c r="B128" s="31" t="s">
        <v>194</v>
      </c>
      <c r="C128" s="31">
        <v>5</v>
      </c>
      <c r="D128" s="32" t="s">
        <v>173</v>
      </c>
      <c r="E128" s="32">
        <v>1</v>
      </c>
      <c r="F128" s="32">
        <v>1</v>
      </c>
      <c r="G128" s="32">
        <v>6</v>
      </c>
      <c r="H128" s="32">
        <v>60</v>
      </c>
      <c r="I128" s="32">
        <f>(8-1-0.75*2)*60*F128-K128-8*0.12*60</f>
        <v>57.900000000000006</v>
      </c>
      <c r="J128" s="32">
        <v>14</v>
      </c>
      <c r="K128" s="32">
        <f>(8-1-0.75*2)*0.65*60*F128</f>
        <v>214.5</v>
      </c>
      <c r="L128" s="33">
        <v>4.01</v>
      </c>
      <c r="M128" s="33">
        <v>4.01</v>
      </c>
      <c r="N128" s="32">
        <v>10</v>
      </c>
      <c r="O128" s="32">
        <f>E128/F128</f>
        <v>1</v>
      </c>
      <c r="P128" s="32">
        <v>0</v>
      </c>
      <c r="Q128" s="32">
        <v>10</v>
      </c>
      <c r="R128" s="42">
        <v>5</v>
      </c>
      <c r="S128" s="42">
        <v>0.78</v>
      </c>
      <c r="T128" s="33">
        <f>ROUND((L128*I128+1.3*L128*K128+S128*H128),4)</f>
        <v>1397.1675</v>
      </c>
      <c r="U128" s="33">
        <f>ROUND((M128*I128+1.3*M128*K128+S128*H128),4)</f>
        <v>1397.1675</v>
      </c>
      <c r="V128" s="33">
        <f>ROUND((M128*I128+1.3*M128*K128+S128*H128),4)</f>
        <v>1397.1675</v>
      </c>
      <c r="W128" s="33">
        <f>ROUND((L128*J128+1.3*L128*N128+S128*G128),4)</f>
        <v>112.95</v>
      </c>
      <c r="X128" s="33">
        <f>ROUND((M128*J128+1.3*M128*N128+S128*G128),4)</f>
        <v>112.95</v>
      </c>
      <c r="Y128" s="33">
        <f>ROUND((M128*J128+1.3*M128*N128+S128*G128),4)</f>
        <v>112.95</v>
      </c>
      <c r="Z128" s="43">
        <f>ROUND((P128*T128*F128*O128/1000000),4)</f>
        <v>0</v>
      </c>
      <c r="AA128" s="43">
        <f>ROUND((Q128*U128*F128*O128/1000000),4)</f>
        <v>1.4E-2</v>
      </c>
      <c r="AB128" s="43">
        <f>ROUND((R128*V128*F128*O128/1000000),4)</f>
        <v>7.0000000000000001E-3</v>
      </c>
      <c r="AC128" s="44" t="s">
        <v>111</v>
      </c>
      <c r="AD128" s="45" t="s">
        <v>95</v>
      </c>
      <c r="AE128" s="30">
        <f>ROUND((((X128*E128)/1800)*0.8),4)</f>
        <v>5.0200000000000002E-2</v>
      </c>
      <c r="AF128" s="30">
        <f>ROUND(((Z128+AA128+AB128)*0.8),4)</f>
        <v>1.6799999999999999E-2</v>
      </c>
      <c r="AG128" s="50"/>
      <c r="AH128" s="50"/>
      <c r="AJ128" s="1"/>
    </row>
    <row r="129" spans="1:36" ht="12.95" customHeight="1" x14ac:dyDescent="0.25">
      <c r="A129" s="36"/>
      <c r="B129" s="34" t="s">
        <v>195</v>
      </c>
      <c r="C129" s="35"/>
      <c r="D129" s="36"/>
      <c r="E129" s="36"/>
      <c r="F129" s="36"/>
      <c r="G129" s="36"/>
      <c r="H129" s="36"/>
      <c r="I129" s="36"/>
      <c r="J129" s="36"/>
      <c r="K129" s="36"/>
      <c r="L129" s="37"/>
      <c r="M129" s="37"/>
      <c r="N129" s="36"/>
      <c r="O129" s="36"/>
      <c r="P129" s="36"/>
      <c r="Q129" s="36"/>
      <c r="R129" s="36"/>
      <c r="S129" s="46"/>
      <c r="T129" s="47"/>
      <c r="U129" s="47"/>
      <c r="V129" s="47"/>
      <c r="W129" s="47"/>
      <c r="X129" s="47"/>
      <c r="Y129" s="47"/>
      <c r="Z129" s="47"/>
      <c r="AA129" s="47"/>
      <c r="AB129" s="47"/>
      <c r="AC129" s="44" t="s">
        <v>112</v>
      </c>
      <c r="AD129" s="45" t="s">
        <v>113</v>
      </c>
      <c r="AE129" s="30">
        <f>ROUND((((X128*E128)/1800)*0.13),4)</f>
        <v>8.2000000000000007E-3</v>
      </c>
      <c r="AF129" s="30">
        <f>ROUND(((Z128+AA128+AB128)*0.13),4)</f>
        <v>2.7000000000000001E-3</v>
      </c>
      <c r="AG129" s="50"/>
      <c r="AH129" s="50"/>
      <c r="AJ129" s="1"/>
    </row>
    <row r="130" spans="1:36" ht="12.95" customHeight="1" x14ac:dyDescent="0.25">
      <c r="A130" s="36"/>
      <c r="B130" s="35"/>
      <c r="C130" s="38"/>
      <c r="D130" s="39"/>
      <c r="E130" s="36"/>
      <c r="F130" s="36"/>
      <c r="G130" s="36"/>
      <c r="H130" s="36"/>
      <c r="I130" s="36"/>
      <c r="J130" s="36"/>
      <c r="K130" s="36"/>
      <c r="L130" s="40">
        <v>0.31</v>
      </c>
      <c r="M130" s="40">
        <v>0.38</v>
      </c>
      <c r="N130" s="36"/>
      <c r="O130" s="36"/>
      <c r="P130" s="36"/>
      <c r="Q130" s="36"/>
      <c r="R130" s="36"/>
      <c r="S130" s="48">
        <v>0.16</v>
      </c>
      <c r="T130" s="33">
        <f>ROUND((L130*I128+1.3*L130*K128+S130*H128),4)</f>
        <v>113.99250000000001</v>
      </c>
      <c r="U130" s="33">
        <f>ROUND((M130*0.9*I128+1.3*M130*0.9*K128+S130*H128),4)</f>
        <v>124.7685</v>
      </c>
      <c r="V130" s="33">
        <f>ROUND((M130*I128+1.3*M130*K128+S130*H128),4)</f>
        <v>137.565</v>
      </c>
      <c r="W130" s="33">
        <f>ROUND((L130*J128+1.3*L130*N128+S130*G128),4)</f>
        <v>9.33</v>
      </c>
      <c r="X130" s="33">
        <f>ROUND((M130*0.9*J128+1.3*M130*0.9*N128+S130*G128),4)</f>
        <v>10.194000000000001</v>
      </c>
      <c r="Y130" s="33">
        <f>ROUND((M130*J128+1.3*M130*N128+S130*G128),4)</f>
        <v>11.22</v>
      </c>
      <c r="Z130" s="43">
        <f>ROUND((P128*T130*F128*O128/1000000),4)</f>
        <v>0</v>
      </c>
      <c r="AA130" s="43">
        <f>ROUND((Q128*U130*F128*O128/1000000),4)</f>
        <v>1.1999999999999999E-3</v>
      </c>
      <c r="AB130" s="43">
        <f>ROUND((R128*V130*F128*O128/1000000),4)</f>
        <v>6.9999999999999999E-4</v>
      </c>
      <c r="AC130" s="44" t="s">
        <v>167</v>
      </c>
      <c r="AD130" s="45" t="s">
        <v>115</v>
      </c>
      <c r="AE130" s="30">
        <f>ROUND((((X130*E128)/1800)),4)</f>
        <v>5.7000000000000002E-3</v>
      </c>
      <c r="AF130" s="30">
        <f>ROUND(((Z130+AA130+AB130)),5)</f>
        <v>1.9E-3</v>
      </c>
      <c r="AG130" s="50"/>
      <c r="AH130" s="50"/>
      <c r="AJ130" s="1"/>
    </row>
    <row r="131" spans="1:36" ht="12.95" customHeight="1" x14ac:dyDescent="0.25">
      <c r="A131" s="36"/>
      <c r="B131" s="35"/>
      <c r="C131" s="35"/>
      <c r="D131" s="36"/>
      <c r="E131" s="36"/>
      <c r="F131" s="36"/>
      <c r="G131" s="36"/>
      <c r="H131" s="36"/>
      <c r="I131" s="36"/>
      <c r="J131" s="36"/>
      <c r="K131" s="36"/>
      <c r="L131" s="40">
        <v>0.71</v>
      </c>
      <c r="M131" s="40">
        <v>0.85</v>
      </c>
      <c r="N131" s="36"/>
      <c r="O131" s="36"/>
      <c r="P131" s="36"/>
      <c r="Q131" s="36"/>
      <c r="R131" s="36"/>
      <c r="S131" s="49">
        <v>0.49</v>
      </c>
      <c r="T131" s="33">
        <f>ROUND((L131*I128+1.3*L131*K128+S131*H128),4)</f>
        <v>268.49250000000001</v>
      </c>
      <c r="U131" s="33">
        <f>ROUND((M131*0.9*I128+1.3*M131*0.9*K128+S131*H128),4)</f>
        <v>287.0138</v>
      </c>
      <c r="V131" s="33">
        <f>ROUND((M131*I128+1.3*M131*K128+S131*H128),4)</f>
        <v>315.63749999999999</v>
      </c>
      <c r="W131" s="33">
        <f>ROUND((L131*J128+1.3*L131*N128+S131*G128),4)</f>
        <v>22.11</v>
      </c>
      <c r="X131" s="33">
        <f>ROUND((M131*0.9*J128+1.3*M131*0.9*N128+S131*G128),4)</f>
        <v>23.594999999999999</v>
      </c>
      <c r="Y131" s="33">
        <f>ROUND((M131*J128+1.3*N128+S131*G128),4)</f>
        <v>27.84</v>
      </c>
      <c r="Z131" s="43">
        <f>ROUND((P128*T131*F128*O128/1000000),4)</f>
        <v>0</v>
      </c>
      <c r="AA131" s="43">
        <f>ROUND((Q128*U131*F128*O128/1000000),4)</f>
        <v>2.8999999999999998E-3</v>
      </c>
      <c r="AB131" s="43">
        <f>ROUND((R128*V131*F128*O128/1000000),4)</f>
        <v>1.6000000000000001E-3</v>
      </c>
      <c r="AC131" s="44" t="s">
        <v>168</v>
      </c>
      <c r="AD131" s="45" t="s">
        <v>169</v>
      </c>
      <c r="AE131" s="30">
        <f>ROUND((((X131*E128)/1800)),4)</f>
        <v>1.3100000000000001E-2</v>
      </c>
      <c r="AF131" s="30">
        <f>ROUND(((Z131+AA131+AB131)),4)</f>
        <v>4.4999999999999997E-3</v>
      </c>
      <c r="AG131" s="50"/>
      <c r="AH131" s="50"/>
      <c r="AJ131" s="1"/>
    </row>
    <row r="132" spans="1:36" ht="12.95" customHeight="1" x14ac:dyDescent="0.25">
      <c r="A132" s="36"/>
      <c r="B132" s="35"/>
      <c r="C132" s="35"/>
      <c r="D132" s="36"/>
      <c r="E132" s="36"/>
      <c r="F132" s="36"/>
      <c r="G132" s="36"/>
      <c r="H132" s="36"/>
      <c r="I132" s="36"/>
      <c r="J132" s="36"/>
      <c r="K132" s="36"/>
      <c r="L132" s="40">
        <v>0.45</v>
      </c>
      <c r="M132" s="40">
        <v>0.67</v>
      </c>
      <c r="N132" s="36"/>
      <c r="O132" s="36"/>
      <c r="P132" s="36"/>
      <c r="Q132" s="36"/>
      <c r="R132" s="36"/>
      <c r="S132" s="49">
        <v>0.1</v>
      </c>
      <c r="T132" s="33">
        <f>ROUND((L132*I128+1.3*L132*K128+S132*H128),4)</f>
        <v>157.53749999999999</v>
      </c>
      <c r="U132" s="33">
        <f>ROUND((M132*0.9*I128+1.3*M132*0.9*K128+S132*H128),4)</f>
        <v>209.06030000000001</v>
      </c>
      <c r="V132" s="33">
        <f>ROUND((M132*I128+1.3*M132*K128+S132*H128),4)</f>
        <v>231.6225</v>
      </c>
      <c r="W132" s="33">
        <f>ROUND((L132*J128+1.3*L132*N128+S132*G128),4)</f>
        <v>12.75</v>
      </c>
      <c r="X132" s="33">
        <f>ROUND((M132*0.9*J128+1.3*M132*0.9*N128+S132*G128),4)</f>
        <v>16.881</v>
      </c>
      <c r="Y132" s="33">
        <f>ROUND((M132*J128+1.3*M132*N128+S132*G128),4)</f>
        <v>18.690000000000001</v>
      </c>
      <c r="Z132" s="43">
        <f>ROUND((P128*T132*F128*O128/1000000),4)</f>
        <v>0</v>
      </c>
      <c r="AA132" s="43">
        <f>ROUND((Q128*U132*F128*O128/1000000),4)</f>
        <v>2.0999999999999999E-3</v>
      </c>
      <c r="AB132" s="43">
        <f>ROUND((R128*V132*F128*O128/1000000),4)</f>
        <v>1.1999999999999999E-3</v>
      </c>
      <c r="AC132" s="44" t="s">
        <v>170</v>
      </c>
      <c r="AD132" s="45" t="s">
        <v>119</v>
      </c>
      <c r="AE132" s="30">
        <f>ROUND((((X132*E128)/1800)),4)</f>
        <v>9.4000000000000004E-3</v>
      </c>
      <c r="AF132" s="30">
        <f>ROUND(((Z132+AA132+AB132)),4)</f>
        <v>3.3E-3</v>
      </c>
      <c r="AG132" s="50"/>
      <c r="AH132" s="50"/>
      <c r="AJ132" s="1"/>
    </row>
    <row r="133" spans="1:36" ht="12.95" customHeight="1" x14ac:dyDescent="0.25">
      <c r="A133" s="36"/>
      <c r="B133" s="41"/>
      <c r="C133" s="41"/>
      <c r="D133" s="37"/>
      <c r="E133" s="37"/>
      <c r="F133" s="37"/>
      <c r="G133" s="37"/>
      <c r="H133" s="37"/>
      <c r="I133" s="37"/>
      <c r="J133" s="37"/>
      <c r="K133" s="37"/>
      <c r="L133" s="40">
        <v>2.09</v>
      </c>
      <c r="M133" s="40">
        <v>2.5499999999999998</v>
      </c>
      <c r="N133" s="37"/>
      <c r="O133" s="37"/>
      <c r="P133" s="37"/>
      <c r="Q133" s="37"/>
      <c r="R133" s="37"/>
      <c r="S133" s="49">
        <v>3.91</v>
      </c>
      <c r="T133" s="33">
        <f>ROUND((L133*I128+1.3*L133*K128+S133*H128),4)</f>
        <v>938.40750000000003</v>
      </c>
      <c r="U133" s="33">
        <f>ROUND((M133*0.9*I128+1.3*M133*0.9*K128+S133*H128),4)</f>
        <v>1007.4413</v>
      </c>
      <c r="V133" s="33">
        <f>ROUND((M133*I128+1.3*M133*K128+S133*H128),4)</f>
        <v>1093.3125</v>
      </c>
      <c r="W133" s="33">
        <f>ROUND((L133*J128+1.3*L133*N128+S133*G128),4)</f>
        <v>79.89</v>
      </c>
      <c r="X133" s="33">
        <f>ROUND((M133*0.9*J128+1.3*M133*0.9*N128+S133*G128),4)</f>
        <v>85.424999999999997</v>
      </c>
      <c r="Y133" s="33">
        <f>ROUND((M133*J128+1.3*M133*N128+S133*G128),4)</f>
        <v>92.31</v>
      </c>
      <c r="Z133" s="43">
        <f>ROUND((P128*T133*F128*O128/1000000),4)</f>
        <v>0</v>
      </c>
      <c r="AA133" s="43">
        <f>ROUND((Q128*U133*F128*O128/1000000),4)</f>
        <v>1.01E-2</v>
      </c>
      <c r="AB133" s="43">
        <f>ROUND((R128*V133*F128*O128/1000000),4)</f>
        <v>5.4999999999999997E-3</v>
      </c>
      <c r="AC133" s="44" t="s">
        <v>171</v>
      </c>
      <c r="AD133" s="45" t="s">
        <v>104</v>
      </c>
      <c r="AE133" s="30">
        <f>ROUND((((X133*E128)/1800)),4)</f>
        <v>4.7500000000000001E-2</v>
      </c>
      <c r="AF133" s="30">
        <f>ROUND(((Z133+AA133+AB133)),4)</f>
        <v>1.5599999999999999E-2</v>
      </c>
      <c r="AG133" s="50"/>
      <c r="AH133" s="50"/>
      <c r="AJ133" s="1"/>
    </row>
    <row r="134" spans="1:36" ht="12.95" customHeight="1" x14ac:dyDescent="0.25">
      <c r="A134" s="56"/>
      <c r="B134" s="31" t="s">
        <v>196</v>
      </c>
      <c r="C134" s="31">
        <v>6</v>
      </c>
      <c r="D134" s="32" t="s">
        <v>175</v>
      </c>
      <c r="E134" s="32">
        <v>1</v>
      </c>
      <c r="F134" s="32">
        <v>1</v>
      </c>
      <c r="G134" s="32">
        <v>6</v>
      </c>
      <c r="H134" s="32">
        <v>60</v>
      </c>
      <c r="I134" s="32">
        <f>(8-1-0.75*2)*60*F134-K134-8*0.12*60</f>
        <v>57.900000000000006</v>
      </c>
      <c r="J134" s="32">
        <v>14</v>
      </c>
      <c r="K134" s="32">
        <f>(8-1-0.75*2)*0.65*60*F134</f>
        <v>214.5</v>
      </c>
      <c r="L134" s="33">
        <v>6.47</v>
      </c>
      <c r="M134" s="33">
        <v>6.47</v>
      </c>
      <c r="N134" s="32">
        <v>10</v>
      </c>
      <c r="O134" s="32">
        <f>E134/F134</f>
        <v>1</v>
      </c>
      <c r="P134" s="32">
        <v>0</v>
      </c>
      <c r="Q134" s="32">
        <v>10</v>
      </c>
      <c r="R134" s="42">
        <v>5</v>
      </c>
      <c r="S134" s="42">
        <v>1.27</v>
      </c>
      <c r="T134" s="33">
        <f>ROUND((L134*I134+1.3*L134*K134+S134*H134),4)</f>
        <v>2254.9724999999999</v>
      </c>
      <c r="U134" s="33">
        <f>ROUND((M134*I134+1.3*M134*K134+S134*H134),4)</f>
        <v>2254.9724999999999</v>
      </c>
      <c r="V134" s="33">
        <f>ROUND((M134*I134+1.3*M134*K134+S134*H134),4)</f>
        <v>2254.9724999999999</v>
      </c>
      <c r="W134" s="33">
        <f>ROUND((L134*J134+1.3*L134*N134+S134*G134),4)</f>
        <v>182.31</v>
      </c>
      <c r="X134" s="33">
        <f>ROUND((M134*J134+1.3*M134*N134+S134*G134),4)</f>
        <v>182.31</v>
      </c>
      <c r="Y134" s="33">
        <f>ROUND((M134*J134+1.3*M134*N134+S134*G134),4)</f>
        <v>182.31</v>
      </c>
      <c r="Z134" s="43">
        <f>ROUND((P134*T134*F134*O134/1000000),4)</f>
        <v>0</v>
      </c>
      <c r="AA134" s="43">
        <f>ROUND((Q134*U134*F134*O134/1000000),4)</f>
        <v>2.2499999999999999E-2</v>
      </c>
      <c r="AB134" s="43">
        <f>ROUND((R134*V134*F134*O134/1000000),4)</f>
        <v>1.1299999999999999E-2</v>
      </c>
      <c r="AC134" s="44" t="s">
        <v>111</v>
      </c>
      <c r="AD134" s="45" t="s">
        <v>95</v>
      </c>
      <c r="AE134" s="30">
        <f>ROUND((((X134*E134)/1800)*0.8),4)</f>
        <v>8.1000000000000003E-2</v>
      </c>
      <c r="AF134" s="30">
        <f>ROUND(((Z134+AA134+AB134)*0.8),4)</f>
        <v>2.7E-2</v>
      </c>
      <c r="AG134" s="50"/>
      <c r="AH134" s="50"/>
      <c r="AI134" s="1"/>
      <c r="AJ134" s="1"/>
    </row>
    <row r="135" spans="1:36" ht="12.95" customHeight="1" x14ac:dyDescent="0.25">
      <c r="A135" s="56"/>
      <c r="B135" s="35" t="s">
        <v>197</v>
      </c>
      <c r="C135" s="36"/>
      <c r="D135" s="36"/>
      <c r="E135" s="36"/>
      <c r="F135" s="36"/>
      <c r="G135" s="36"/>
      <c r="H135" s="36"/>
      <c r="I135" s="36"/>
      <c r="J135" s="36"/>
      <c r="K135" s="36"/>
      <c r="L135" s="37"/>
      <c r="M135" s="37"/>
      <c r="N135" s="36"/>
      <c r="O135" s="36"/>
      <c r="P135" s="36"/>
      <c r="Q135" s="36"/>
      <c r="R135" s="36"/>
      <c r="S135" s="46"/>
      <c r="T135" s="47"/>
      <c r="U135" s="47"/>
      <c r="V135" s="47"/>
      <c r="W135" s="47"/>
      <c r="X135" s="47"/>
      <c r="Y135" s="47"/>
      <c r="Z135" s="47"/>
      <c r="AA135" s="47"/>
      <c r="AB135" s="47"/>
      <c r="AC135" s="44" t="s">
        <v>112</v>
      </c>
      <c r="AD135" s="45" t="s">
        <v>113</v>
      </c>
      <c r="AE135" s="30">
        <f>ROUND((((X134*E134)/1800)*0.13),4)</f>
        <v>1.32E-2</v>
      </c>
      <c r="AF135" s="30">
        <f>ROUND(((Z134+AA134+AB134)*0.13),4)</f>
        <v>4.4000000000000003E-3</v>
      </c>
      <c r="AG135" s="50"/>
      <c r="AH135" s="50"/>
      <c r="AI135" s="1"/>
      <c r="AJ135" s="1"/>
    </row>
    <row r="136" spans="1:36" ht="12.95" customHeight="1" x14ac:dyDescent="0.25">
      <c r="A136" s="56"/>
      <c r="B136" s="50"/>
      <c r="C136" s="39"/>
      <c r="D136" s="39"/>
      <c r="E136" s="36"/>
      <c r="F136" s="36"/>
      <c r="G136" s="36"/>
      <c r="H136" s="36"/>
      <c r="I136" s="36"/>
      <c r="J136" s="36"/>
      <c r="K136" s="36"/>
      <c r="L136" s="40">
        <v>0.51</v>
      </c>
      <c r="M136" s="40">
        <v>0.63</v>
      </c>
      <c r="N136" s="36"/>
      <c r="O136" s="36"/>
      <c r="P136" s="36"/>
      <c r="Q136" s="36"/>
      <c r="R136" s="36"/>
      <c r="S136" s="48">
        <v>0.25</v>
      </c>
      <c r="T136" s="33">
        <f>ROUND((L136*I134+1.3*L136*K134+S136*H134),4)</f>
        <v>186.74250000000001</v>
      </c>
      <c r="U136" s="33">
        <f>ROUND((M136*0.9*I134+1.3*M136*0.9*K134+S136*H134),4)</f>
        <v>205.93729999999999</v>
      </c>
      <c r="V136" s="33">
        <f>ROUND((M136*I134+1.3*M136*K134+S136*H134),4)</f>
        <v>227.1525</v>
      </c>
      <c r="W136" s="33">
        <f>ROUND((L136*J134+1.3*L136*N134+S136*G134),4)</f>
        <v>15.27</v>
      </c>
      <c r="X136" s="33">
        <f>ROUND((M136*0.9*J134+1.3*M136*0.9*N134+S136*G134),4)</f>
        <v>16.809000000000001</v>
      </c>
      <c r="Y136" s="33">
        <f>ROUND((M136*J134+1.3*M136*N134+S136*G134),4)</f>
        <v>18.510000000000002</v>
      </c>
      <c r="Z136" s="43">
        <f>ROUND((P134*T136*F134*O134/1000000),4)</f>
        <v>0</v>
      </c>
      <c r="AA136" s="43">
        <f>ROUND((Q134*U136*F134*O134/1000000),4)</f>
        <v>2.0999999999999999E-3</v>
      </c>
      <c r="AB136" s="43">
        <f>ROUND((R134*V136*F134*O134/1000000),4)</f>
        <v>1.1000000000000001E-3</v>
      </c>
      <c r="AC136" s="44" t="s">
        <v>167</v>
      </c>
      <c r="AD136" s="45" t="s">
        <v>115</v>
      </c>
      <c r="AE136" s="30">
        <f>ROUND((((X136*E134)/1800)),4)</f>
        <v>9.2999999999999992E-3</v>
      </c>
      <c r="AF136" s="30">
        <f>ROUND(((Z136+AA136+AB136)),5)</f>
        <v>3.2000000000000002E-3</v>
      </c>
      <c r="AG136" s="50"/>
      <c r="AH136" s="50"/>
      <c r="AI136" s="1"/>
      <c r="AJ136" s="1"/>
    </row>
    <row r="137" spans="1:36" ht="12.95" customHeight="1" x14ac:dyDescent="0.25">
      <c r="A137" s="56"/>
      <c r="B137" s="35"/>
      <c r="C137" s="36"/>
      <c r="D137" s="36"/>
      <c r="E137" s="36"/>
      <c r="F137" s="36"/>
      <c r="G137" s="36"/>
      <c r="H137" s="36"/>
      <c r="I137" s="36"/>
      <c r="J137" s="36"/>
      <c r="K137" s="36"/>
      <c r="L137" s="40">
        <v>1.1399999999999999</v>
      </c>
      <c r="M137" s="40">
        <v>1.37</v>
      </c>
      <c r="N137" s="36"/>
      <c r="O137" s="36"/>
      <c r="P137" s="36"/>
      <c r="Q137" s="36"/>
      <c r="R137" s="36"/>
      <c r="S137" s="49">
        <v>0.79</v>
      </c>
      <c r="T137" s="33">
        <f>ROUND((L137*I134+1.3*L137*K134+S137*H134),4)</f>
        <v>431.29500000000002</v>
      </c>
      <c r="U137" s="33">
        <f>ROUND((M137*0.9*I134+1.3*M137*0.9*K134+S137*H134),4)</f>
        <v>462.61279999999999</v>
      </c>
      <c r="V137" s="33">
        <f>ROUND((M137*I134+1.3*M137*K134+S137*H134),4)</f>
        <v>508.7475</v>
      </c>
      <c r="W137" s="33">
        <f>ROUND((L137*J134+1.3*L137*N134+S137*G134),4)</f>
        <v>35.520000000000003</v>
      </c>
      <c r="X137" s="33">
        <f>ROUND((M137*0.9*J134+1.3*M137*0.9*N134+S137*G134),4)</f>
        <v>38.030999999999999</v>
      </c>
      <c r="Y137" s="33">
        <f>ROUND((M137*J134+1.3*N134+S137*G134),4)</f>
        <v>36.92</v>
      </c>
      <c r="Z137" s="43">
        <f>ROUND((P134*T137*F134*O134/1000000),4)</f>
        <v>0</v>
      </c>
      <c r="AA137" s="43">
        <f>ROUND((Q134*U137*F134*O134/1000000),4)</f>
        <v>4.5999999999999999E-3</v>
      </c>
      <c r="AB137" s="43">
        <f>ROUND((R134*V137*F134*O134/1000000),4)</f>
        <v>2.5000000000000001E-3</v>
      </c>
      <c r="AC137" s="44" t="s">
        <v>168</v>
      </c>
      <c r="AD137" s="45" t="s">
        <v>169</v>
      </c>
      <c r="AE137" s="30">
        <f>ROUND((((X137*E134)/1800)),4)</f>
        <v>2.1100000000000001E-2</v>
      </c>
      <c r="AF137" s="30">
        <f>ROUND(((Z137+AA137+AB137)),4)</f>
        <v>7.1000000000000004E-3</v>
      </c>
      <c r="AG137" s="50"/>
      <c r="AH137" s="50"/>
      <c r="AI137" s="1"/>
      <c r="AJ137" s="1"/>
    </row>
    <row r="138" spans="1:36" ht="12.95" customHeight="1" x14ac:dyDescent="0.25">
      <c r="A138" s="56"/>
      <c r="B138" s="35"/>
      <c r="C138" s="36"/>
      <c r="D138" s="36"/>
      <c r="E138" s="36"/>
      <c r="F138" s="36"/>
      <c r="G138" s="36"/>
      <c r="H138" s="36"/>
      <c r="I138" s="36"/>
      <c r="J138" s="36"/>
      <c r="K138" s="36"/>
      <c r="L138" s="40">
        <v>0.72</v>
      </c>
      <c r="M138" s="40">
        <v>1.08</v>
      </c>
      <c r="N138" s="36"/>
      <c r="O138" s="36"/>
      <c r="P138" s="36"/>
      <c r="Q138" s="36"/>
      <c r="R138" s="36"/>
      <c r="S138" s="49">
        <v>0.17</v>
      </c>
      <c r="T138" s="33">
        <f>ROUND((L138*I134+1.3*L138*K134+S138*H134),4)</f>
        <v>252.66</v>
      </c>
      <c r="U138" s="33">
        <f>ROUND((M138*0.9*I134+1.3*M138*0.9*K134+S138*H134),4)</f>
        <v>337.52100000000002</v>
      </c>
      <c r="V138" s="33">
        <f>ROUND((M138*I134+1.3*M138*K134+S138*H134),4)</f>
        <v>373.89</v>
      </c>
      <c r="W138" s="33">
        <f>ROUND((L138*J134+1.3*L138*N134+S138*G134),4)</f>
        <v>20.46</v>
      </c>
      <c r="X138" s="33">
        <f>ROUND((M138*0.9*J134+1.3*M138*0.9*N134+S138*G134),4)</f>
        <v>27.263999999999999</v>
      </c>
      <c r="Y138" s="33">
        <f>ROUND((M138*J134+1.3*M138*N134+S138*G134),4)</f>
        <v>30.18</v>
      </c>
      <c r="Z138" s="43">
        <f>ROUND((P134*T138*F134*O134/1000000),4)</f>
        <v>0</v>
      </c>
      <c r="AA138" s="43">
        <f>ROUND((Q134*U138*F134*O134/1000000),4)</f>
        <v>3.3999999999999998E-3</v>
      </c>
      <c r="AB138" s="43">
        <f>ROUND((R134*V138*F134*O134/1000000),4)</f>
        <v>1.9E-3</v>
      </c>
      <c r="AC138" s="44" t="s">
        <v>170</v>
      </c>
      <c r="AD138" s="45" t="s">
        <v>119</v>
      </c>
      <c r="AE138" s="30">
        <f>ROUND((((X138*E134)/1800)),4)</f>
        <v>1.5100000000000001E-2</v>
      </c>
      <c r="AF138" s="30">
        <f>ROUND(((Z138+AA138+AB138)),4)</f>
        <v>5.3E-3</v>
      </c>
      <c r="AG138" s="50"/>
      <c r="AH138" s="50"/>
      <c r="AI138" s="1"/>
      <c r="AJ138" s="1"/>
    </row>
    <row r="139" spans="1:36" ht="12.95" customHeight="1" x14ac:dyDescent="0.25">
      <c r="A139" s="56"/>
      <c r="B139" s="41"/>
      <c r="C139" s="37"/>
      <c r="D139" s="37"/>
      <c r="E139" s="37"/>
      <c r="F139" s="37"/>
      <c r="G139" s="37"/>
      <c r="H139" s="37"/>
      <c r="I139" s="37"/>
      <c r="J139" s="37"/>
      <c r="K139" s="37"/>
      <c r="L139" s="40">
        <v>3.37</v>
      </c>
      <c r="M139" s="40">
        <v>4.1100000000000003</v>
      </c>
      <c r="N139" s="37"/>
      <c r="O139" s="37"/>
      <c r="P139" s="37"/>
      <c r="Q139" s="37"/>
      <c r="R139" s="37"/>
      <c r="S139" s="49">
        <v>6.31</v>
      </c>
      <c r="T139" s="33">
        <f>ROUND((L139*I134+1.3*L139*K134+S139*H134),4)</f>
        <v>1513.4475</v>
      </c>
      <c r="U139" s="33">
        <f>ROUND((M139*0.9*I134+1.3*M139*0.9*K134+S139*H134),4)</f>
        <v>1624.2383</v>
      </c>
      <c r="V139" s="33">
        <f>ROUND((M139*I134+1.3*M139*K134+S139*H134),4)</f>
        <v>1762.6424999999999</v>
      </c>
      <c r="W139" s="33">
        <f>ROUND((L139*J134+1.3*L139*N134+S139*G134),4)</f>
        <v>128.85</v>
      </c>
      <c r="X139" s="33">
        <f>ROUND((M139*0.9*J134+1.3*M139*0.9*N134+S139*G134),4)</f>
        <v>137.733</v>
      </c>
      <c r="Y139" s="33">
        <f>ROUND((M139*J134+1.3*M139*N134+S139*G134),4)</f>
        <v>148.83000000000001</v>
      </c>
      <c r="Z139" s="43">
        <f>ROUND((P134*T139*F134*O134/1000000),4)</f>
        <v>0</v>
      </c>
      <c r="AA139" s="43">
        <f>ROUND((Q134*U139*F134*O134/1000000),4)</f>
        <v>1.6199999999999999E-2</v>
      </c>
      <c r="AB139" s="43">
        <f>ROUND((R134*V139*F134*O134/1000000),4)</f>
        <v>8.8000000000000005E-3</v>
      </c>
      <c r="AC139" s="44" t="s">
        <v>171</v>
      </c>
      <c r="AD139" s="45" t="s">
        <v>104</v>
      </c>
      <c r="AE139" s="30">
        <f>ROUND((((X139*E134)/1800)),4)</f>
        <v>7.6499999999999999E-2</v>
      </c>
      <c r="AF139" s="30">
        <f>ROUND(((Z139+AA139+AB139)),4)</f>
        <v>2.5000000000000001E-2</v>
      </c>
      <c r="AG139" s="50"/>
      <c r="AH139" s="50"/>
      <c r="AI139" s="1"/>
      <c r="AJ139" s="1"/>
    </row>
    <row r="140" spans="1:36" ht="12.95" customHeight="1" x14ac:dyDescent="0.25">
      <c r="A140" s="36"/>
      <c r="B140" s="50" t="s">
        <v>198</v>
      </c>
      <c r="C140" s="31">
        <v>3</v>
      </c>
      <c r="D140" s="32" t="s">
        <v>187</v>
      </c>
      <c r="E140" s="32">
        <v>1</v>
      </c>
      <c r="F140" s="32">
        <v>1</v>
      </c>
      <c r="G140" s="32">
        <v>6</v>
      </c>
      <c r="H140" s="32">
        <v>60</v>
      </c>
      <c r="I140" s="32">
        <f>(8-1-0.75*2)*60*F140-K140-8*0.12*60</f>
        <v>57.900000000000006</v>
      </c>
      <c r="J140" s="32">
        <v>14</v>
      </c>
      <c r="K140" s="32">
        <f>(8-1-0.75*2)*0.65*60*F140</f>
        <v>214.5</v>
      </c>
      <c r="L140" s="33">
        <v>1.49</v>
      </c>
      <c r="M140" s="33">
        <v>1.49</v>
      </c>
      <c r="N140" s="32">
        <v>10</v>
      </c>
      <c r="O140" s="32">
        <f>E140/F140</f>
        <v>1</v>
      </c>
      <c r="P140" s="32">
        <v>0</v>
      </c>
      <c r="Q140" s="32">
        <v>60</v>
      </c>
      <c r="R140" s="42">
        <v>60</v>
      </c>
      <c r="S140" s="42">
        <v>0.28999999999999998</v>
      </c>
      <c r="T140" s="33">
        <f>ROUND((L140*I140+1.3*L140*K140+S140*H140),4)</f>
        <v>519.15750000000003</v>
      </c>
      <c r="U140" s="33">
        <f>ROUND((M140*I140+1.3*M140*K140+S140*H140),4)</f>
        <v>519.15750000000003</v>
      </c>
      <c r="V140" s="33">
        <f>ROUND((M140*I140+1.3*M140*K140+S140*H140),4)</f>
        <v>519.15750000000003</v>
      </c>
      <c r="W140" s="33">
        <f>ROUND((L140*J140+1.3*L140*N140+S140*G140),4)</f>
        <v>41.97</v>
      </c>
      <c r="X140" s="33">
        <f>ROUND((M140*J140+1.3*M140*N140+S140*G140),4)</f>
        <v>41.97</v>
      </c>
      <c r="Y140" s="33">
        <f>ROUND((M140*J140+1.3*M140*N140+S140*G140),4)</f>
        <v>41.97</v>
      </c>
      <c r="Z140" s="43">
        <f>ROUND((P140*T140*F140*O140/1000000),4)</f>
        <v>0</v>
      </c>
      <c r="AA140" s="43">
        <f>ROUND((Q140*U140*F140*O140/1000000),4)</f>
        <v>3.1099999999999999E-2</v>
      </c>
      <c r="AB140" s="43">
        <f>ROUND((R140*V140*F140*O140/1000000),4)</f>
        <v>3.1099999999999999E-2</v>
      </c>
      <c r="AC140" s="44" t="s">
        <v>111</v>
      </c>
      <c r="AD140" s="45" t="s">
        <v>95</v>
      </c>
      <c r="AE140" s="30">
        <f>ROUND((((X140*E140)/1800)*0.8),4)</f>
        <v>1.8700000000000001E-2</v>
      </c>
      <c r="AF140" s="30">
        <f>ROUND(((Z140+AA140+AB140)*0.8),4)</f>
        <v>4.9799999999999997E-2</v>
      </c>
      <c r="AG140" s="50"/>
      <c r="AH140" s="50"/>
    </row>
    <row r="141" spans="1:36" ht="12.95" customHeight="1" x14ac:dyDescent="0.25">
      <c r="A141" s="36"/>
      <c r="B141" s="35" t="s">
        <v>199</v>
      </c>
      <c r="C141" s="36"/>
      <c r="D141" s="36"/>
      <c r="E141" s="36"/>
      <c r="F141" s="36"/>
      <c r="G141" s="36"/>
      <c r="H141" s="36"/>
      <c r="I141" s="36"/>
      <c r="J141" s="36"/>
      <c r="K141" s="36"/>
      <c r="L141" s="37"/>
      <c r="M141" s="37"/>
      <c r="N141" s="36"/>
      <c r="O141" s="36"/>
      <c r="P141" s="36"/>
      <c r="Q141" s="36"/>
      <c r="R141" s="36"/>
      <c r="S141" s="46"/>
      <c r="T141" s="47"/>
      <c r="U141" s="47"/>
      <c r="V141" s="47"/>
      <c r="W141" s="47"/>
      <c r="X141" s="47"/>
      <c r="Y141" s="47"/>
      <c r="Z141" s="47"/>
      <c r="AA141" s="47"/>
      <c r="AB141" s="47"/>
      <c r="AC141" s="44" t="s">
        <v>112</v>
      </c>
      <c r="AD141" s="45" t="s">
        <v>113</v>
      </c>
      <c r="AE141" s="30">
        <f>ROUND((((X140*E140)/1800)*0.13),4)</f>
        <v>3.0000000000000001E-3</v>
      </c>
      <c r="AF141" s="30">
        <f>ROUND(((Z140+AA140+AB140)*0.13),4)</f>
        <v>8.0999999999999996E-3</v>
      </c>
      <c r="AG141" s="50"/>
      <c r="AH141" s="50"/>
    </row>
    <row r="142" spans="1:36" ht="12.95" customHeight="1" x14ac:dyDescent="0.25">
      <c r="A142" s="36"/>
      <c r="C142" s="39"/>
      <c r="D142" s="39"/>
      <c r="E142" s="36"/>
      <c r="F142" s="36"/>
      <c r="G142" s="36"/>
      <c r="H142" s="36"/>
      <c r="I142" s="36"/>
      <c r="J142" s="36"/>
      <c r="K142" s="36"/>
      <c r="L142" s="40">
        <v>0.12</v>
      </c>
      <c r="M142" s="40">
        <v>0.15</v>
      </c>
      <c r="N142" s="36"/>
      <c r="O142" s="36"/>
      <c r="P142" s="36"/>
      <c r="Q142" s="36"/>
      <c r="R142" s="36"/>
      <c r="S142" s="48">
        <v>5.8000000000000003E-2</v>
      </c>
      <c r="T142" s="33">
        <f>ROUND((L142*I140+1.3*L142*K140+S142*H140),4)</f>
        <v>43.89</v>
      </c>
      <c r="U142" s="33">
        <f>ROUND((M142*0.9*I140+1.3*M142*0.9*K140+S142*H140),4)</f>
        <v>48.941299999999998</v>
      </c>
      <c r="V142" s="33">
        <f>ROUND((M142*I140+1.3*M142*K140+S142*H140),4)</f>
        <v>53.9925</v>
      </c>
      <c r="W142" s="33">
        <f>ROUND((L142*J140+1.3*L142*N140+S142*G140),4)</f>
        <v>3.5880000000000001</v>
      </c>
      <c r="X142" s="33">
        <f>ROUND((M142*0.9*J140+1.3*M142*0.9*N140+S142*G140),4)</f>
        <v>3.9929999999999999</v>
      </c>
      <c r="Y142" s="33">
        <f>ROUND((M142*J140+1.3*M142*N140+S142*G140),4)</f>
        <v>4.3979999999999997</v>
      </c>
      <c r="Z142" s="43">
        <f>ROUND((P140*T142*F140*O140/1000000),4)</f>
        <v>0</v>
      </c>
      <c r="AA142" s="43">
        <f>ROUND((Q140*U142*F140*O140/1000000),4)</f>
        <v>2.8999999999999998E-3</v>
      </c>
      <c r="AB142" s="43">
        <f>ROUND((R140*V142*F140*O140/1000000),4)</f>
        <v>3.2000000000000002E-3</v>
      </c>
      <c r="AC142" s="44" t="s">
        <v>167</v>
      </c>
      <c r="AD142" s="45" t="s">
        <v>115</v>
      </c>
      <c r="AE142" s="30">
        <f>ROUND((((X142*E140)/1800)),4)</f>
        <v>2.2000000000000001E-3</v>
      </c>
      <c r="AF142" s="30">
        <f>ROUND(((Z142+AA142+AB142)),5)</f>
        <v>6.1000000000000004E-3</v>
      </c>
      <c r="AG142" s="50"/>
      <c r="AH142" s="50"/>
    </row>
    <row r="143" spans="1:36" ht="12.95" customHeight="1" x14ac:dyDescent="0.25">
      <c r="A143" s="36"/>
      <c r="C143" s="36"/>
      <c r="D143" s="36"/>
      <c r="E143" s="36"/>
      <c r="F143" s="36"/>
      <c r="G143" s="36"/>
      <c r="H143" s="36"/>
      <c r="I143" s="36"/>
      <c r="J143" s="36"/>
      <c r="K143" s="36"/>
      <c r="L143" s="40">
        <v>0.26</v>
      </c>
      <c r="M143" s="40">
        <v>0.31</v>
      </c>
      <c r="N143" s="36"/>
      <c r="O143" s="36"/>
      <c r="P143" s="36"/>
      <c r="Q143" s="36"/>
      <c r="R143" s="36"/>
      <c r="S143" s="49">
        <v>0.18</v>
      </c>
      <c r="T143" s="33">
        <f>ROUND((L143*I140+1.3*L143*K140+S143*H140),4)</f>
        <v>98.355000000000004</v>
      </c>
      <c r="U143" s="33">
        <f>ROUND((M143*0.9*I140+1.3*M143*0.9*K140+S143*H140),4)</f>
        <v>104.7533</v>
      </c>
      <c r="V143" s="33">
        <f>ROUND((M143*I140+1.3*M143*K140+S143*H140),4)</f>
        <v>115.1925</v>
      </c>
      <c r="W143" s="33">
        <f>ROUND((L143*J140+1.3*L143*N140+S143*G140),4)</f>
        <v>8.1</v>
      </c>
      <c r="X143" s="33">
        <f>ROUND((M143*0.9*J140+1.3*M143*0.9*N140+S143*G140),4)</f>
        <v>8.6129999999999995</v>
      </c>
      <c r="Y143" s="33">
        <f>ROUND((M143*J140+1.3*N140+S143*G140),4)</f>
        <v>18.420000000000002</v>
      </c>
      <c r="Z143" s="43">
        <f>ROUND((P140*T143*F140*O140/1000000),4)</f>
        <v>0</v>
      </c>
      <c r="AA143" s="43">
        <f>ROUND((Q140*U143*F140*O140/1000000),4)</f>
        <v>6.3E-3</v>
      </c>
      <c r="AB143" s="43">
        <f>ROUND((R140*V143*F140*O140/1000000),4)</f>
        <v>6.8999999999999999E-3</v>
      </c>
      <c r="AC143" s="44" t="s">
        <v>168</v>
      </c>
      <c r="AD143" s="45" t="s">
        <v>169</v>
      </c>
      <c r="AE143" s="30">
        <f>ROUND((((X143*E140)/1800)),4)</f>
        <v>4.7999999999999996E-3</v>
      </c>
      <c r="AF143" s="30">
        <f>ROUND(((Z143+AA143+AB143)),4)</f>
        <v>1.32E-2</v>
      </c>
      <c r="AG143" s="50"/>
      <c r="AH143" s="50"/>
    </row>
    <row r="144" spans="1:36" ht="12.95" customHeight="1" x14ac:dyDescent="0.25">
      <c r="A144" s="36"/>
      <c r="B144" s="35"/>
      <c r="C144" s="36"/>
      <c r="D144" s="36"/>
      <c r="E144" s="36"/>
      <c r="F144" s="36"/>
      <c r="G144" s="36"/>
      <c r="H144" s="36"/>
      <c r="I144" s="36"/>
      <c r="J144" s="36"/>
      <c r="K144" s="36"/>
      <c r="L144" s="40">
        <v>0.17</v>
      </c>
      <c r="M144" s="40">
        <v>0.25</v>
      </c>
      <c r="N144" s="36"/>
      <c r="O144" s="36"/>
      <c r="P144" s="36"/>
      <c r="Q144" s="36"/>
      <c r="R144" s="36"/>
      <c r="S144" s="49">
        <v>0.04</v>
      </c>
      <c r="T144" s="33">
        <f>ROUND((L144*I140+1.3*L144*K140+S144*H140),4)</f>
        <v>59.647500000000001</v>
      </c>
      <c r="U144" s="33">
        <f>ROUND((M144*0.9*I140+1.3*M144*0.9*K140+S144*H140),4)</f>
        <v>78.168800000000005</v>
      </c>
      <c r="V144" s="33">
        <f>ROUND((M144*I140+1.3*M144*K140+S144*H140),4)</f>
        <v>86.587500000000006</v>
      </c>
      <c r="W144" s="33">
        <f>ROUND((L144*J140+1.3*L144*N140+S144*G140),4)</f>
        <v>4.83</v>
      </c>
      <c r="X144" s="33">
        <f>ROUND((M144*0.9*J140+1.3*M144*0.9*N140+S144*G140),4)</f>
        <v>6.3150000000000004</v>
      </c>
      <c r="Y144" s="33">
        <f>ROUND((M144*J140+1.3*M144*N140+S144*G140),4)</f>
        <v>6.99</v>
      </c>
      <c r="Z144" s="43">
        <f>ROUND((P140*T144*F140*O140/1000000),4)</f>
        <v>0</v>
      </c>
      <c r="AA144" s="43">
        <f>ROUND((Q140*U144*F140*O140/1000000),4)</f>
        <v>4.7000000000000002E-3</v>
      </c>
      <c r="AB144" s="43">
        <f>ROUND((R140*V144*F140*O140/1000000),4)</f>
        <v>5.1999999999999998E-3</v>
      </c>
      <c r="AC144" s="44" t="s">
        <v>170</v>
      </c>
      <c r="AD144" s="45" t="s">
        <v>119</v>
      </c>
      <c r="AE144" s="30">
        <f>ROUND((((X144*E140)/1800)),4)</f>
        <v>3.5000000000000001E-3</v>
      </c>
      <c r="AF144" s="30">
        <f>ROUND(((Z144+AA144+AB144)),4)</f>
        <v>9.9000000000000008E-3</v>
      </c>
      <c r="AG144" s="50"/>
      <c r="AH144" s="50"/>
    </row>
    <row r="145" spans="1:36" ht="12.95" customHeight="1" x14ac:dyDescent="0.25">
      <c r="A145" s="37"/>
      <c r="B145" s="41"/>
      <c r="C145" s="37"/>
      <c r="D145" s="37"/>
      <c r="E145" s="37"/>
      <c r="F145" s="37"/>
      <c r="G145" s="37"/>
      <c r="H145" s="37"/>
      <c r="I145" s="37"/>
      <c r="J145" s="37"/>
      <c r="K145" s="37"/>
      <c r="L145" s="40">
        <v>0.77</v>
      </c>
      <c r="M145" s="40">
        <v>0.94</v>
      </c>
      <c r="N145" s="37"/>
      <c r="O145" s="37"/>
      <c r="P145" s="37"/>
      <c r="Q145" s="37"/>
      <c r="R145" s="37"/>
      <c r="S145" s="49">
        <v>1.44</v>
      </c>
      <c r="T145" s="33">
        <f>ROUND((L145*I140+1.3*L145*K140+S145*H140),4)</f>
        <v>345.69749999999999</v>
      </c>
      <c r="U145" s="33">
        <f>ROUND((M145*0.9*I140+1.3*M145*0.9*K140+S145*H140),4)</f>
        <v>371.29050000000001</v>
      </c>
      <c r="V145" s="33">
        <f>ROUND((M145*I140+1.3*M145*K140+S145*H140),4)</f>
        <v>402.94499999999999</v>
      </c>
      <c r="W145" s="33">
        <f>ROUND((L145*J140+1.3*L145*N140+S145*G140),4)</f>
        <v>29.43</v>
      </c>
      <c r="X145" s="33">
        <f>ROUND((M145*0.9*J140+1.3*M145*0.9*N140+S145*G140),4)</f>
        <v>31.481999999999999</v>
      </c>
      <c r="Y145" s="33">
        <f>ROUND((M145*J140+1.3*M145*N140+S145*G140),4)</f>
        <v>34.020000000000003</v>
      </c>
      <c r="Z145" s="43">
        <f>ROUND((P140*T145*F140*O140/1000000),4)</f>
        <v>0</v>
      </c>
      <c r="AA145" s="43">
        <f>ROUND((Q140*U145*F140*O140/1000000),4)</f>
        <v>2.23E-2</v>
      </c>
      <c r="AB145" s="43">
        <f>ROUND((R140*V145*F140*O140/1000000),4)</f>
        <v>2.4199999999999999E-2</v>
      </c>
      <c r="AC145" s="44" t="s">
        <v>171</v>
      </c>
      <c r="AD145" s="45" t="s">
        <v>104</v>
      </c>
      <c r="AE145" s="30">
        <f>ROUND((((X145*E140)/1800)),4)</f>
        <v>1.7500000000000002E-2</v>
      </c>
      <c r="AF145" s="30">
        <f>ROUND(((Z145+AA145+AB145)),4)</f>
        <v>4.65E-2</v>
      </c>
      <c r="AG145" s="50"/>
      <c r="AH145" s="50"/>
    </row>
    <row r="146" spans="1:36" ht="12.95" customHeight="1" x14ac:dyDescent="0.25">
      <c r="A146" s="528" t="s">
        <v>343</v>
      </c>
      <c r="B146" s="529"/>
      <c r="C146" s="529"/>
      <c r="D146" s="529"/>
      <c r="E146" s="529"/>
      <c r="F146" s="529"/>
      <c r="G146" s="529"/>
      <c r="H146" s="529"/>
      <c r="I146" s="529"/>
      <c r="J146" s="529"/>
      <c r="K146" s="529"/>
      <c r="L146" s="529"/>
      <c r="M146" s="529"/>
      <c r="N146" s="529"/>
      <c r="O146" s="529"/>
      <c r="P146" s="529"/>
      <c r="Q146" s="529"/>
      <c r="R146" s="529"/>
      <c r="S146" s="530"/>
      <c r="T146" s="28">
        <f>ROUND((L146*I146+1.3*L146*K146+S146*H146),4)</f>
        <v>0</v>
      </c>
      <c r="U146" s="28">
        <f>ROUND((M146*I146+1.3*M146*K146+S146*H146),4)</f>
        <v>0</v>
      </c>
      <c r="V146" s="28">
        <f>ROUND((M146*I146+1.3*M146*K146+S146*H146),4)</f>
        <v>0</v>
      </c>
      <c r="W146" s="28">
        <f>ROUND((L146*J146+1.3*L146*N146+S146*G146),4)</f>
        <v>0</v>
      </c>
      <c r="X146" s="28">
        <f>ROUND((M146*J146+1.3*M146*N146+S146*G146),4)</f>
        <v>0</v>
      </c>
      <c r="Y146" s="28">
        <f>ROUND((M146*J146+1.3*M146*N146+S146*G146),4)</f>
        <v>0</v>
      </c>
      <c r="Z146" s="57">
        <f>ROUND((P146*T146*F146*O146/1000000),4)</f>
        <v>0</v>
      </c>
      <c r="AA146" s="57">
        <f>ROUND((Q146*U146*F146*O146/1000000),4)</f>
        <v>0</v>
      </c>
      <c r="AB146" s="57">
        <f>ROUND((R146*V146*F146*O146/1000000),4)</f>
        <v>0</v>
      </c>
      <c r="AC146" s="58" t="s">
        <v>111</v>
      </c>
      <c r="AD146" s="59" t="s">
        <v>95</v>
      </c>
      <c r="AE146" s="60">
        <f>MAX(AE50,AE56,AE68,AE74,AE80,AE86,AE92,AE98,AE62,AE104,AE110,AE116,AE122,AE128,AE134,AE140)</f>
        <v>0.12720000000000001</v>
      </c>
      <c r="AF146" s="60">
        <f>AF50+AF56+AF68+AF74+AF80+AF86+AF92+AF98+AF104+AF110+AF116+AF122+AF128+AF134+AF140+AF62</f>
        <v>2.6838999999999995</v>
      </c>
      <c r="AG146" s="139"/>
      <c r="AH146" s="139"/>
      <c r="AI146" s="1"/>
      <c r="AJ146" s="1"/>
    </row>
    <row r="147" spans="1:36" ht="12.95" customHeight="1" x14ac:dyDescent="0.25">
      <c r="A147" s="531"/>
      <c r="B147" s="532"/>
      <c r="C147" s="532"/>
      <c r="D147" s="532"/>
      <c r="E147" s="532"/>
      <c r="F147" s="532"/>
      <c r="G147" s="532"/>
      <c r="H147" s="532"/>
      <c r="I147" s="532"/>
      <c r="J147" s="532"/>
      <c r="K147" s="532"/>
      <c r="L147" s="532"/>
      <c r="M147" s="532"/>
      <c r="N147" s="532"/>
      <c r="O147" s="532"/>
      <c r="P147" s="532"/>
      <c r="Q147" s="532"/>
      <c r="R147" s="532"/>
      <c r="S147" s="533"/>
      <c r="T147" s="29"/>
      <c r="U147" s="29"/>
      <c r="V147" s="29"/>
      <c r="W147" s="29"/>
      <c r="X147" s="29"/>
      <c r="Y147" s="29"/>
      <c r="Z147" s="29"/>
      <c r="AA147" s="29"/>
      <c r="AB147" s="29"/>
      <c r="AC147" s="58" t="s">
        <v>112</v>
      </c>
      <c r="AD147" s="59" t="s">
        <v>113</v>
      </c>
      <c r="AE147" s="60">
        <f t="shared" ref="AE147:AE151" si="0">MAX(AE51,AE57,AE69,AE75,AE81,AE87,AE93,AE99,AE63,AE105,AE111,AE117,AE123,AE129,AE135,AE141)</f>
        <v>2.07E-2</v>
      </c>
      <c r="AF147" s="60">
        <f t="shared" ref="AF147:AF150" si="1">AF51+AF57+AF69+AF75+AF81+AF87+AF93+AF99+AF105+AF111+AF117+AF123+AF129+AF135+AF141+AF63</f>
        <v>0.43619999999999998</v>
      </c>
      <c r="AG147" s="139"/>
      <c r="AH147" s="139"/>
      <c r="AI147" s="1"/>
      <c r="AJ147" s="1"/>
    </row>
    <row r="148" spans="1:36" ht="12.95" customHeight="1" x14ac:dyDescent="0.25">
      <c r="A148" s="531"/>
      <c r="B148" s="532"/>
      <c r="C148" s="532"/>
      <c r="D148" s="532"/>
      <c r="E148" s="532"/>
      <c r="F148" s="532"/>
      <c r="G148" s="532"/>
      <c r="H148" s="532"/>
      <c r="I148" s="532"/>
      <c r="J148" s="532"/>
      <c r="K148" s="532"/>
      <c r="L148" s="532"/>
      <c r="M148" s="532"/>
      <c r="N148" s="532"/>
      <c r="O148" s="532"/>
      <c r="P148" s="532"/>
      <c r="Q148" s="532"/>
      <c r="R148" s="532"/>
      <c r="S148" s="533"/>
      <c r="T148" s="28">
        <f>ROUND((L148*I146+1.3*L148*K146+S148*H146),4)</f>
        <v>0</v>
      </c>
      <c r="U148" s="28">
        <f>ROUND((M148*0.9*I146+1.3*M148*0.9*K146+S148*H146),4)</f>
        <v>0</v>
      </c>
      <c r="V148" s="28">
        <f>ROUND((M148*I146+1.3*M148*K146+S148*H146),4)</f>
        <v>0</v>
      </c>
      <c r="W148" s="28">
        <f>ROUND((L148*J146+1.3*L148*N146+S148*G146),4)</f>
        <v>0</v>
      </c>
      <c r="X148" s="28">
        <f>ROUND((M148*0.9*J146+1.3*M148*0.9*N146+S148*G146),4)</f>
        <v>0</v>
      </c>
      <c r="Y148" s="28">
        <f>ROUND((M148*J146+1.3*M148*N146+S148*G146),4)</f>
        <v>0</v>
      </c>
      <c r="Z148" s="57">
        <f>ROUND((P146*T148*F146*O146/1000000),4)</f>
        <v>0</v>
      </c>
      <c r="AA148" s="57">
        <f>ROUND((Q146*U148*F146*O146/1000000),4)</f>
        <v>0</v>
      </c>
      <c r="AB148" s="57">
        <f>ROUND((R146*V148*F146*O146/1000000),4)</f>
        <v>0</v>
      </c>
      <c r="AC148" s="58" t="s">
        <v>167</v>
      </c>
      <c r="AD148" s="59" t="s">
        <v>115</v>
      </c>
      <c r="AE148" s="60">
        <f t="shared" si="0"/>
        <v>1.4500000000000001E-2</v>
      </c>
      <c r="AF148" s="60">
        <f t="shared" si="1"/>
        <v>0.37309999999999999</v>
      </c>
      <c r="AG148" s="139"/>
      <c r="AH148" s="139"/>
      <c r="AI148" s="1"/>
      <c r="AJ148" s="1"/>
    </row>
    <row r="149" spans="1:36" ht="12.95" customHeight="1" x14ac:dyDescent="0.25">
      <c r="A149" s="531"/>
      <c r="B149" s="532"/>
      <c r="C149" s="532"/>
      <c r="D149" s="532"/>
      <c r="E149" s="532"/>
      <c r="F149" s="532"/>
      <c r="G149" s="532"/>
      <c r="H149" s="532"/>
      <c r="I149" s="532"/>
      <c r="J149" s="532"/>
      <c r="K149" s="532"/>
      <c r="L149" s="532"/>
      <c r="M149" s="532"/>
      <c r="N149" s="532"/>
      <c r="O149" s="532"/>
      <c r="P149" s="532"/>
      <c r="Q149" s="532"/>
      <c r="R149" s="532"/>
      <c r="S149" s="533"/>
      <c r="T149" s="28">
        <f>ROUND((L149*I146+1.3*L149*K146+S149*H146),4)</f>
        <v>0</v>
      </c>
      <c r="U149" s="28">
        <f>ROUND((M149*0.9*I146+1.3*M149*0.9*K146+S149*H146),4)</f>
        <v>0</v>
      </c>
      <c r="V149" s="28">
        <f>ROUND((M149*I146+1.3*M149*K146+S149*H146),4)</f>
        <v>0</v>
      </c>
      <c r="W149" s="28">
        <f>ROUND((L149*J146+1.3*L149*N146+S149*G146),4)</f>
        <v>0</v>
      </c>
      <c r="X149" s="28">
        <f>ROUND((M149*0.9*J146+1.3*M149*0.9*N146+S149*G146),4)</f>
        <v>0</v>
      </c>
      <c r="Y149" s="28">
        <f>ROUND((M149*J146+1.3*N146+S149*G146),4)</f>
        <v>0</v>
      </c>
      <c r="Z149" s="57">
        <f>ROUND((P146*T149*F146*O146/1000000),4)</f>
        <v>0</v>
      </c>
      <c r="AA149" s="57">
        <f>ROUND((Q146*U149*F146*O146/1000000),4)</f>
        <v>0</v>
      </c>
      <c r="AB149" s="57">
        <f>ROUND((R146*V149*F146*O146/1000000),4)</f>
        <v>0</v>
      </c>
      <c r="AC149" s="58" t="s">
        <v>168</v>
      </c>
      <c r="AD149" s="59" t="s">
        <v>169</v>
      </c>
      <c r="AE149" s="60">
        <f t="shared" si="0"/>
        <v>3.32E-2</v>
      </c>
      <c r="AF149" s="60">
        <f t="shared" si="1"/>
        <v>0.70499999999999996</v>
      </c>
      <c r="AG149" s="139"/>
      <c r="AH149" s="139"/>
      <c r="AI149" s="1"/>
      <c r="AJ149" s="1"/>
    </row>
    <row r="150" spans="1:36" ht="12.95" customHeight="1" x14ac:dyDescent="0.25">
      <c r="A150" s="531"/>
      <c r="B150" s="532"/>
      <c r="C150" s="532"/>
      <c r="D150" s="532"/>
      <c r="E150" s="532"/>
      <c r="F150" s="532"/>
      <c r="G150" s="532"/>
      <c r="H150" s="532"/>
      <c r="I150" s="532"/>
      <c r="J150" s="532"/>
      <c r="K150" s="532"/>
      <c r="L150" s="532"/>
      <c r="M150" s="532"/>
      <c r="N150" s="532"/>
      <c r="O150" s="532"/>
      <c r="P150" s="532"/>
      <c r="Q150" s="532"/>
      <c r="R150" s="532"/>
      <c r="S150" s="533"/>
      <c r="T150" s="28">
        <f>ROUND((L150*I146+1.3*L150*K146+S150*H146),4)</f>
        <v>0</v>
      </c>
      <c r="U150" s="28">
        <f>ROUND((M150*0.9*I146+1.3*M150*0.9*K146+S150*H146),4)</f>
        <v>0</v>
      </c>
      <c r="V150" s="28">
        <f>ROUND((M150*I146+1.3*M150*K146+S150*H146),4)</f>
        <v>0</v>
      </c>
      <c r="W150" s="28">
        <f>ROUND((L150*J146+1.3*L150*N146+S150*G146),4)</f>
        <v>0</v>
      </c>
      <c r="X150" s="28">
        <f>ROUND((M150*0.9*J146+1.3*M150*0.9*N146+S150*G146),4)</f>
        <v>0</v>
      </c>
      <c r="Y150" s="28">
        <f>ROUND((M150*J146+1.3*M150*N146+S150*G146),4)</f>
        <v>0</v>
      </c>
      <c r="Z150" s="57">
        <f>ROUND((P146*T150*F146*O146/1000000),4)</f>
        <v>0</v>
      </c>
      <c r="AA150" s="57">
        <f>ROUND((Q146*U150*F146*O146/1000000),4)</f>
        <v>0</v>
      </c>
      <c r="AB150" s="57">
        <f>ROUND((R146*V150*F146*O146/1000000),4)</f>
        <v>0</v>
      </c>
      <c r="AC150" s="58" t="s">
        <v>170</v>
      </c>
      <c r="AD150" s="59" t="s">
        <v>119</v>
      </c>
      <c r="AE150" s="60">
        <f t="shared" si="0"/>
        <v>2.3800000000000002E-2</v>
      </c>
      <c r="AF150" s="60">
        <f t="shared" si="1"/>
        <v>0.52819999999999989</v>
      </c>
      <c r="AG150" s="139"/>
      <c r="AH150" s="139"/>
      <c r="AI150" s="1"/>
      <c r="AJ150" s="1"/>
    </row>
    <row r="151" spans="1:36" ht="12.95" customHeight="1" x14ac:dyDescent="0.25">
      <c r="A151" s="534"/>
      <c r="B151" s="535"/>
      <c r="C151" s="535"/>
      <c r="D151" s="535"/>
      <c r="E151" s="535"/>
      <c r="F151" s="535"/>
      <c r="G151" s="535"/>
      <c r="H151" s="535"/>
      <c r="I151" s="535"/>
      <c r="J151" s="535"/>
      <c r="K151" s="535"/>
      <c r="L151" s="535"/>
      <c r="M151" s="535"/>
      <c r="N151" s="535"/>
      <c r="O151" s="535"/>
      <c r="P151" s="535"/>
      <c r="Q151" s="535"/>
      <c r="R151" s="535"/>
      <c r="S151" s="536"/>
      <c r="T151" s="28">
        <f>ROUND((L151*I146+1.3*L151*K146+S151*H146),4)</f>
        <v>0</v>
      </c>
      <c r="U151" s="28">
        <f>ROUND((M151*0.9*I146+1.3*M151*0.9*K146+S151*H146),4)</f>
        <v>0</v>
      </c>
      <c r="V151" s="28">
        <f>ROUND((M151*I146+1.3*M151*K146+S151*H146),4)</f>
        <v>0</v>
      </c>
      <c r="W151" s="28">
        <f>ROUND((L151*J146+1.3*L151*N146+S151*G146),4)</f>
        <v>0</v>
      </c>
      <c r="X151" s="28">
        <f>ROUND((M151*0.9*J146+1.3*M151*0.9*N146+S151*G146),4)</f>
        <v>0</v>
      </c>
      <c r="Y151" s="28">
        <f>ROUND((M151*J146+1.3*M151*N146+S151*G146),4)</f>
        <v>0</v>
      </c>
      <c r="Z151" s="57">
        <f>ROUND((P146*T151*F146*O146/1000000),4)</f>
        <v>0</v>
      </c>
      <c r="AA151" s="57">
        <f>ROUND((Q146*U151*F146*O146/1000000),4)</f>
        <v>0</v>
      </c>
      <c r="AB151" s="57">
        <f>ROUND((R146*V151*F146*O146/1000000),4)</f>
        <v>0</v>
      </c>
      <c r="AC151" s="58" t="s">
        <v>171</v>
      </c>
      <c r="AD151" s="59" t="s">
        <v>104</v>
      </c>
      <c r="AE151" s="60">
        <f t="shared" si="0"/>
        <v>0.12039999999999999</v>
      </c>
      <c r="AF151" s="60">
        <f>AF55+AF61+AF73+AF79+AF85+AF91+AF97+AF103+AF109+AF115+AF121+AF127+AF133+AF139+AF145+AF67</f>
        <v>2.3398999999999996</v>
      </c>
      <c r="AG151" s="133">
        <f>SUM(AE146:AE151)</f>
        <v>0.33980000000000005</v>
      </c>
      <c r="AH151" s="133">
        <f>SUM(AF146:AF151)</f>
        <v>7.0662999999999982</v>
      </c>
      <c r="AI151" s="1">
        <v>2026</v>
      </c>
      <c r="AJ151" s="1"/>
    </row>
    <row r="152" spans="1:36" ht="12.95" customHeight="1" x14ac:dyDescent="0.25">
      <c r="A152" s="525" t="s">
        <v>21</v>
      </c>
      <c r="B152" s="526"/>
      <c r="C152" s="526"/>
      <c r="D152" s="526"/>
      <c r="E152" s="526"/>
      <c r="F152" s="526"/>
      <c r="G152" s="526"/>
      <c r="H152" s="526"/>
      <c r="I152" s="526"/>
      <c r="J152" s="526"/>
      <c r="K152" s="526"/>
      <c r="L152" s="526"/>
      <c r="M152" s="526"/>
      <c r="N152" s="526"/>
      <c r="O152" s="526"/>
      <c r="P152" s="526"/>
      <c r="Q152" s="526"/>
      <c r="R152" s="526"/>
      <c r="S152" s="526"/>
      <c r="T152" s="526"/>
      <c r="U152" s="526"/>
      <c r="V152" s="526"/>
      <c r="W152" s="526"/>
      <c r="X152" s="526"/>
      <c r="Y152" s="526"/>
      <c r="Z152" s="526"/>
      <c r="AA152" s="526"/>
      <c r="AB152" s="526"/>
      <c r="AC152" s="526"/>
      <c r="AD152" s="526"/>
      <c r="AE152" s="526"/>
      <c r="AF152" s="527"/>
      <c r="AG152" s="138"/>
      <c r="AH152" s="138"/>
      <c r="AI152" s="1"/>
      <c r="AJ152" s="1"/>
    </row>
    <row r="153" spans="1:36" ht="12.95" customHeight="1" x14ac:dyDescent="0.25">
      <c r="A153" s="21">
        <v>9005</v>
      </c>
      <c r="B153" s="31" t="s">
        <v>164</v>
      </c>
      <c r="C153" s="32">
        <v>4</v>
      </c>
      <c r="D153" s="32" t="s">
        <v>165</v>
      </c>
      <c r="E153" s="32">
        <v>1</v>
      </c>
      <c r="F153" s="32">
        <v>3</v>
      </c>
      <c r="G153" s="32">
        <v>6</v>
      </c>
      <c r="H153" s="32">
        <v>60</v>
      </c>
      <c r="I153" s="32">
        <f>(8-1-0.75*2)*60*F153-K153-8*0.12*60</f>
        <v>288.89999999999998</v>
      </c>
      <c r="J153" s="32">
        <v>14</v>
      </c>
      <c r="K153" s="32">
        <f>(8-1-0.75*2)*0.65*60*F153</f>
        <v>643.5</v>
      </c>
      <c r="L153" s="32">
        <v>2.4700000000000002</v>
      </c>
      <c r="M153" s="32">
        <v>2.4700000000000002</v>
      </c>
      <c r="N153" s="32">
        <v>10</v>
      </c>
      <c r="O153" s="32">
        <f>E153/F153</f>
        <v>0.33333333333333331</v>
      </c>
      <c r="P153" s="32">
        <v>100</v>
      </c>
      <c r="Q153" s="32">
        <v>30</v>
      </c>
      <c r="R153" s="42">
        <v>20</v>
      </c>
      <c r="S153" s="32">
        <v>0.48</v>
      </c>
      <c r="T153" s="33">
        <f>ROUND((L153*I153+1.3*L153*K153+S153*H153),4)</f>
        <v>2808.6615000000002</v>
      </c>
      <c r="U153" s="33">
        <f>ROUND((M153*I153+1.3*M153*K153+S153*H153),4)</f>
        <v>2808.6615000000002</v>
      </c>
      <c r="V153" s="33">
        <f>ROUND((M153*I153+1.3*M153*K153+S153*H153),4)</f>
        <v>2808.6615000000002</v>
      </c>
      <c r="W153" s="33">
        <f>ROUND((L153*J153+1.3*L153*N153+S153*G153),4)</f>
        <v>69.569999999999993</v>
      </c>
      <c r="X153" s="33">
        <f>ROUND((M153*J153+1.3*M153*N153+S153*G153),4)</f>
        <v>69.569999999999993</v>
      </c>
      <c r="Y153" s="33">
        <f>ROUND((M153*J153+1.3*M153*N153+S153*G153),4)</f>
        <v>69.569999999999993</v>
      </c>
      <c r="Z153" s="43">
        <f>ROUND((P153*T153*F153*O153/1000000),4)</f>
        <v>0.28089999999999998</v>
      </c>
      <c r="AA153" s="43">
        <f>ROUND((Q153*U153*F153*O153/1000000),4)</f>
        <v>8.43E-2</v>
      </c>
      <c r="AB153" s="43">
        <f>ROUND((R153*V153*F153*O153/1000000),4)</f>
        <v>5.62E-2</v>
      </c>
      <c r="AC153" s="44" t="s">
        <v>111</v>
      </c>
      <c r="AD153" s="45" t="s">
        <v>95</v>
      </c>
      <c r="AE153" s="30">
        <f>ROUND((((X153*E153)/1800)*0.8),4)</f>
        <v>3.09E-2</v>
      </c>
      <c r="AF153" s="30">
        <f>ROUND(((Z153+AA153+AB153)*0.8),4)</f>
        <v>0.33710000000000001</v>
      </c>
      <c r="AG153" s="50"/>
      <c r="AH153" s="50"/>
      <c r="AI153" s="1"/>
    </row>
    <row r="154" spans="1:36" ht="12.95" customHeight="1" x14ac:dyDescent="0.25">
      <c r="A154" s="36"/>
      <c r="B154" s="35" t="s">
        <v>166</v>
      </c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51"/>
      <c r="T154" s="47"/>
      <c r="U154" s="47"/>
      <c r="V154" s="47"/>
      <c r="W154" s="47"/>
      <c r="X154" s="47"/>
      <c r="Y154" s="47"/>
      <c r="Z154" s="47"/>
      <c r="AA154" s="47"/>
      <c r="AB154" s="47"/>
      <c r="AC154" s="44" t="s">
        <v>112</v>
      </c>
      <c r="AD154" s="45" t="s">
        <v>113</v>
      </c>
      <c r="AE154" s="30">
        <f>ROUND((((X153*E153)/1800)*0.13),4)</f>
        <v>5.0000000000000001E-3</v>
      </c>
      <c r="AF154" s="30">
        <f>ROUND(((Z153+AA153+AB153)*0.13),4)</f>
        <v>5.4800000000000001E-2</v>
      </c>
      <c r="AG154" s="50"/>
      <c r="AH154" s="50"/>
      <c r="AI154" s="1"/>
      <c r="AJ154" s="1"/>
    </row>
    <row r="155" spans="1:36" ht="12.95" customHeight="1" x14ac:dyDescent="0.25">
      <c r="A155" s="36"/>
      <c r="B155" s="35"/>
      <c r="C155" s="39"/>
      <c r="D155" s="39"/>
      <c r="E155" s="36"/>
      <c r="F155" s="36"/>
      <c r="G155" s="36"/>
      <c r="H155" s="36"/>
      <c r="I155" s="36"/>
      <c r="J155" s="36"/>
      <c r="K155" s="36"/>
      <c r="L155" s="36">
        <v>0.19</v>
      </c>
      <c r="M155" s="36">
        <v>0.23</v>
      </c>
      <c r="N155" s="36"/>
      <c r="O155" s="36"/>
      <c r="P155" s="36"/>
      <c r="Q155" s="36"/>
      <c r="R155" s="36"/>
      <c r="S155" s="52">
        <v>9.7000000000000003E-2</v>
      </c>
      <c r="T155" s="33">
        <f>ROUND((L155*I153+1.3*L155*K153+S155*H153),4)</f>
        <v>219.65549999999999</v>
      </c>
      <c r="U155" s="33">
        <f>ROUND((M155*0.9*I153+1.3*M155*0.9*K153+S155*H153),4)</f>
        <v>238.78819999999999</v>
      </c>
      <c r="V155" s="33">
        <f>ROUND((M155*I153+1.3*M155*K153+S155*H153),4)</f>
        <v>264.67349999999999</v>
      </c>
      <c r="W155" s="33">
        <f>ROUND((L155*J153+1.3*L155*N153+S155*G153),4)</f>
        <v>5.7119999999999997</v>
      </c>
      <c r="X155" s="33">
        <f>ROUND((M155*0.9*J153+1.3*M155*0.9*N153+S155*G153),4)</f>
        <v>6.1710000000000003</v>
      </c>
      <c r="Y155" s="33">
        <f>ROUND((M155*J153+1.3*M155*N153+S155*G153),4)</f>
        <v>6.7919999999999998</v>
      </c>
      <c r="Z155" s="43">
        <f>ROUND((P153*T155*F153*O153/1000000),4)</f>
        <v>2.1999999999999999E-2</v>
      </c>
      <c r="AA155" s="43">
        <f>ROUND((Q153*U155*F153*O153/1000000),4)</f>
        <v>7.1999999999999998E-3</v>
      </c>
      <c r="AB155" s="43">
        <f>ROUND((R153*V155*F153*O153/1000000),4)</f>
        <v>5.3E-3</v>
      </c>
      <c r="AC155" s="44" t="s">
        <v>167</v>
      </c>
      <c r="AD155" s="45" t="s">
        <v>115</v>
      </c>
      <c r="AE155" s="30">
        <f>ROUND((((X155*E153)/1800)),4)</f>
        <v>3.3999999999999998E-3</v>
      </c>
      <c r="AF155" s="30">
        <f>ROUND(((Z155+AA155+AB155)),5)</f>
        <v>3.4500000000000003E-2</v>
      </c>
      <c r="AG155" s="50"/>
      <c r="AH155" s="50"/>
      <c r="AI155" s="1"/>
      <c r="AJ155" s="1"/>
    </row>
    <row r="156" spans="1:36" ht="12.95" customHeight="1" x14ac:dyDescent="0.25">
      <c r="A156" s="36"/>
      <c r="B156" s="53"/>
      <c r="C156" s="36"/>
      <c r="D156" s="36"/>
      <c r="E156" s="36"/>
      <c r="F156" s="36"/>
      <c r="G156" s="36"/>
      <c r="H156" s="36"/>
      <c r="I156" s="36"/>
      <c r="J156" s="36"/>
      <c r="K156" s="36"/>
      <c r="L156" s="36">
        <v>0.43</v>
      </c>
      <c r="M156" s="36">
        <v>0.51</v>
      </c>
      <c r="N156" s="36"/>
      <c r="O156" s="36"/>
      <c r="P156" s="36"/>
      <c r="Q156" s="36"/>
      <c r="R156" s="36"/>
      <c r="S156" s="52">
        <v>0.3</v>
      </c>
      <c r="T156" s="33">
        <f>ROUND((L156*I153+1.3*L156*K153+S156*H153),4)</f>
        <v>501.94349999999997</v>
      </c>
      <c r="U156" s="33">
        <f>ROUND((M156*0.9*I153+1.3*M156*0.9*K153+S156*H153),4)</f>
        <v>534.58159999999998</v>
      </c>
      <c r="V156" s="33">
        <f>ROUND((M156*I153+1.3*M156*K153+S156*H153),4)</f>
        <v>591.97950000000003</v>
      </c>
      <c r="W156" s="33">
        <f>ROUND((L156*J153+1.3*L156*N153+S156*G153),4)</f>
        <v>13.41</v>
      </c>
      <c r="X156" s="33">
        <f>ROUND((M156*0.9*J153+1.3*M156*0.9*N153+S156*G153),4)</f>
        <v>14.193</v>
      </c>
      <c r="Y156" s="33">
        <f>ROUND((M156*J153+1.3*N153+S156*G153),4)</f>
        <v>21.94</v>
      </c>
      <c r="Z156" s="43">
        <f>ROUND((P153*T156*F153*O153/1000000),4)</f>
        <v>5.0200000000000002E-2</v>
      </c>
      <c r="AA156" s="43">
        <f>ROUND((Q153*U156*F153*O153/1000000),4)</f>
        <v>1.6E-2</v>
      </c>
      <c r="AB156" s="43">
        <f>ROUND((R153*V156*F153*O153/1000000),4)</f>
        <v>1.18E-2</v>
      </c>
      <c r="AC156" s="44" t="s">
        <v>168</v>
      </c>
      <c r="AD156" s="45" t="s">
        <v>169</v>
      </c>
      <c r="AE156" s="30">
        <f>ROUND((((X156*E153)/1800)),4)</f>
        <v>7.9000000000000008E-3</v>
      </c>
      <c r="AF156" s="30">
        <f>ROUND(((Z156+AA156+AB156)),4)</f>
        <v>7.8E-2</v>
      </c>
      <c r="AG156" s="50"/>
      <c r="AH156" s="50"/>
      <c r="AI156" s="1"/>
      <c r="AJ156" s="1"/>
    </row>
    <row r="157" spans="1:36" ht="12.95" customHeight="1" x14ac:dyDescent="0.25">
      <c r="A157" s="36"/>
      <c r="B157" s="35"/>
      <c r="C157" s="36"/>
      <c r="D157" s="36"/>
      <c r="E157" s="36"/>
      <c r="F157" s="36"/>
      <c r="G157" s="36"/>
      <c r="H157" s="36"/>
      <c r="I157" s="36"/>
      <c r="J157" s="36"/>
      <c r="K157" s="36"/>
      <c r="L157" s="36">
        <v>0.27</v>
      </c>
      <c r="M157" s="36">
        <v>0.41</v>
      </c>
      <c r="N157" s="36"/>
      <c r="O157" s="36"/>
      <c r="P157" s="36"/>
      <c r="Q157" s="36"/>
      <c r="R157" s="36"/>
      <c r="S157" s="52">
        <v>0.06</v>
      </c>
      <c r="T157" s="33">
        <f>ROUND((L157*I153+1.3*L157*K153+S157*H153),4)</f>
        <v>307.47149999999999</v>
      </c>
      <c r="U157" s="33">
        <f>ROUND((M157*0.9*I153+1.3*M157*0.9*K153+S157*H153),4)</f>
        <v>418.89109999999999</v>
      </c>
      <c r="V157" s="33">
        <f>ROUND((M157*I153+1.3*M157*K153+S157*H153),4)</f>
        <v>465.03449999999998</v>
      </c>
      <c r="W157" s="33">
        <f>ROUND((L157*J153+1.3*L157*N153+S157*G153),4)</f>
        <v>7.65</v>
      </c>
      <c r="X157" s="33">
        <f>ROUND((M157*0.9*J153+1.3*M157*0.9*N153+S157*G153),4)</f>
        <v>10.323</v>
      </c>
      <c r="Y157" s="33">
        <f>ROUND((M157*J153+1.3*M157*N153+S157*G153),4)</f>
        <v>11.43</v>
      </c>
      <c r="Z157" s="43">
        <f>ROUND((P153*T157*F153*O153/1000000),4)</f>
        <v>3.0700000000000002E-2</v>
      </c>
      <c r="AA157" s="43">
        <f>ROUND((Q153*U157*F153*O153/1000000),4)</f>
        <v>1.26E-2</v>
      </c>
      <c r="AB157" s="43">
        <f>ROUND((R153*V157*F153*O153/1000000),4)</f>
        <v>9.2999999999999992E-3</v>
      </c>
      <c r="AC157" s="44" t="s">
        <v>170</v>
      </c>
      <c r="AD157" s="45" t="s">
        <v>119</v>
      </c>
      <c r="AE157" s="30">
        <f>ROUND((((X157*E153)/1800)),4)</f>
        <v>5.7000000000000002E-3</v>
      </c>
      <c r="AF157" s="30">
        <f>ROUND(((Z157+AA157+AB157)),4)</f>
        <v>5.2600000000000001E-2</v>
      </c>
      <c r="AG157" s="50"/>
      <c r="AH157" s="50"/>
      <c r="AI157" s="1"/>
      <c r="AJ157" s="1"/>
    </row>
    <row r="158" spans="1:36" ht="12.95" customHeight="1" x14ac:dyDescent="0.25">
      <c r="A158" s="36"/>
      <c r="B158" s="35"/>
      <c r="C158" s="37"/>
      <c r="D158" s="37"/>
      <c r="E158" s="37"/>
      <c r="F158" s="37"/>
      <c r="G158" s="37"/>
      <c r="H158" s="37"/>
      <c r="I158" s="37"/>
      <c r="J158" s="37"/>
      <c r="K158" s="37"/>
      <c r="L158" s="37">
        <v>1.29</v>
      </c>
      <c r="M158" s="37">
        <v>1.57</v>
      </c>
      <c r="N158" s="37"/>
      <c r="O158" s="37"/>
      <c r="P158" s="37"/>
      <c r="Q158" s="37"/>
      <c r="R158" s="37"/>
      <c r="S158" s="52">
        <v>2.4</v>
      </c>
      <c r="T158" s="54">
        <f>ROUND((L158*I153+1.3*L158*K153+S158*H153),4)</f>
        <v>1595.8305</v>
      </c>
      <c r="U158" s="54">
        <f>ROUND((M158*0.9*I153+1.3*M158*0.9*K153+S158*H153),4)</f>
        <v>1734.2609</v>
      </c>
      <c r="V158" s="54">
        <f>ROUND((M158*I153+1.3*M158*K153+S158*H153),4)</f>
        <v>1910.9565</v>
      </c>
      <c r="W158" s="54">
        <f>ROUND((L158*J153+1.3*L158*N153+S158*G153),4)</f>
        <v>49.23</v>
      </c>
      <c r="X158" s="54">
        <f>ROUND((M158*0.9*J153+1.3*M158*0.9*N153+S158*G153),4)</f>
        <v>52.551000000000002</v>
      </c>
      <c r="Y158" s="54">
        <f>ROUND((M158*J153+1.3*M158*N153+S158*G153),4)</f>
        <v>56.79</v>
      </c>
      <c r="Z158" s="55">
        <f>ROUND((P153*T158*F153*O153/1000000),4)</f>
        <v>0.15959999999999999</v>
      </c>
      <c r="AA158" s="55">
        <f>ROUND((Q153*U158*F153*O153/1000000),4)</f>
        <v>5.1999999999999998E-2</v>
      </c>
      <c r="AB158" s="55">
        <f>ROUND((R153*V158*F153*O153/1000000),4)</f>
        <v>3.8199999999999998E-2</v>
      </c>
      <c r="AC158" s="44" t="s">
        <v>171</v>
      </c>
      <c r="AD158" s="45" t="s">
        <v>104</v>
      </c>
      <c r="AE158" s="30">
        <f>ROUND((((X158*E153)/1800)),4)</f>
        <v>2.92E-2</v>
      </c>
      <c r="AF158" s="30">
        <f>ROUND(((Z158+AA158+AB158)),4)</f>
        <v>0.24979999999999999</v>
      </c>
      <c r="AG158" s="50"/>
      <c r="AH158" s="50"/>
      <c r="AI158" s="1"/>
      <c r="AJ158" s="1"/>
    </row>
    <row r="159" spans="1:36" ht="12.95" customHeight="1" x14ac:dyDescent="0.25">
      <c r="A159" s="36"/>
      <c r="B159" s="31" t="s">
        <v>172</v>
      </c>
      <c r="C159" s="31">
        <v>5</v>
      </c>
      <c r="D159" s="32" t="s">
        <v>173</v>
      </c>
      <c r="E159" s="32">
        <v>1</v>
      </c>
      <c r="F159" s="32">
        <v>3</v>
      </c>
      <c r="G159" s="32">
        <v>6</v>
      </c>
      <c r="H159" s="32">
        <v>60</v>
      </c>
      <c r="I159" s="32">
        <f>(8-1-0.75*2)*60*F159-K159-8*0.12*60</f>
        <v>288.89999999999998</v>
      </c>
      <c r="J159" s="32">
        <v>14</v>
      </c>
      <c r="K159" s="32">
        <f>(8-1-0.75*2)*0.65*60*F159</f>
        <v>643.5</v>
      </c>
      <c r="L159" s="33">
        <v>4.01</v>
      </c>
      <c r="M159" s="33">
        <v>4.01</v>
      </c>
      <c r="N159" s="32">
        <v>10</v>
      </c>
      <c r="O159" s="32">
        <f>E159/F159</f>
        <v>0.33333333333333331</v>
      </c>
      <c r="P159" s="32">
        <v>180</v>
      </c>
      <c r="Q159" s="32">
        <v>60</v>
      </c>
      <c r="R159" s="42">
        <v>60</v>
      </c>
      <c r="S159" s="42">
        <v>0.78</v>
      </c>
      <c r="T159" s="33">
        <f>ROUND((L159*I159+1.3*L159*K159+S159*H159),4)</f>
        <v>4559.8545000000004</v>
      </c>
      <c r="U159" s="33">
        <f>ROUND((M159*I159+1.3*M159*K159+S159*H159),4)</f>
        <v>4559.8545000000004</v>
      </c>
      <c r="V159" s="33">
        <f>ROUND((M159*I159+1.3*M159*K159+S159*H159),4)</f>
        <v>4559.8545000000004</v>
      </c>
      <c r="W159" s="33">
        <f>ROUND((L159*J159+1.3*L159*N159+S159*G159),4)</f>
        <v>112.95</v>
      </c>
      <c r="X159" s="33">
        <f>ROUND((M159*J159+1.3*M159*N159+S159*G159),4)</f>
        <v>112.95</v>
      </c>
      <c r="Y159" s="33">
        <f>ROUND((M159*J159+1.3*M159*N159+S159*G159),4)</f>
        <v>112.95</v>
      </c>
      <c r="Z159" s="43">
        <f>ROUND((P159*T159*F159*O159/1000000),4)</f>
        <v>0.82079999999999997</v>
      </c>
      <c r="AA159" s="43">
        <f>ROUND((Q159*U159*F159*O159/1000000),4)</f>
        <v>0.27360000000000001</v>
      </c>
      <c r="AB159" s="43">
        <f>ROUND((R159*V159*F159*O159/1000000),4)</f>
        <v>0.27360000000000001</v>
      </c>
      <c r="AC159" s="44" t="s">
        <v>111</v>
      </c>
      <c r="AD159" s="45" t="s">
        <v>95</v>
      </c>
      <c r="AE159" s="30">
        <f>ROUND((((X159*E159)/1800)*0.8),4)</f>
        <v>5.0200000000000002E-2</v>
      </c>
      <c r="AF159" s="30">
        <f>ROUND(((Z159+AA159+AB159)*0.8),4)</f>
        <v>1.0944</v>
      </c>
      <c r="AG159" s="50"/>
      <c r="AH159" s="50"/>
      <c r="AJ159" s="1"/>
    </row>
    <row r="160" spans="1:36" ht="12.95" customHeight="1" x14ac:dyDescent="0.25">
      <c r="A160" s="36"/>
      <c r="B160" s="34" t="s">
        <v>174</v>
      </c>
      <c r="C160" s="35"/>
      <c r="D160" s="36"/>
      <c r="E160" s="36"/>
      <c r="F160" s="36"/>
      <c r="G160" s="36"/>
      <c r="H160" s="36"/>
      <c r="I160" s="36"/>
      <c r="J160" s="36"/>
      <c r="K160" s="36"/>
      <c r="L160" s="37"/>
      <c r="M160" s="37"/>
      <c r="N160" s="36"/>
      <c r="O160" s="36"/>
      <c r="P160" s="36"/>
      <c r="Q160" s="36"/>
      <c r="R160" s="36"/>
      <c r="S160" s="46"/>
      <c r="T160" s="47"/>
      <c r="U160" s="47"/>
      <c r="V160" s="47"/>
      <c r="W160" s="47"/>
      <c r="X160" s="47"/>
      <c r="Y160" s="47"/>
      <c r="Z160" s="47"/>
      <c r="AA160" s="47"/>
      <c r="AB160" s="47"/>
      <c r="AC160" s="44" t="s">
        <v>112</v>
      </c>
      <c r="AD160" s="45" t="s">
        <v>113</v>
      </c>
      <c r="AE160" s="30">
        <f>ROUND((((X159*E159)/1800)*0.13),4)</f>
        <v>8.2000000000000007E-3</v>
      </c>
      <c r="AF160" s="30">
        <f>ROUND(((Z159+AA159+AB159)*0.13),4)</f>
        <v>0.17780000000000001</v>
      </c>
      <c r="AG160" s="50"/>
      <c r="AH160" s="50"/>
      <c r="AJ160" s="1"/>
    </row>
    <row r="161" spans="1:36" ht="12.95" customHeight="1" x14ac:dyDescent="0.25">
      <c r="A161" s="36"/>
      <c r="B161" s="35"/>
      <c r="C161" s="38"/>
      <c r="D161" s="39"/>
      <c r="E161" s="36"/>
      <c r="F161" s="36"/>
      <c r="G161" s="36"/>
      <c r="H161" s="36"/>
      <c r="I161" s="36"/>
      <c r="J161" s="36"/>
      <c r="K161" s="36"/>
      <c r="L161" s="40">
        <v>0.31</v>
      </c>
      <c r="M161" s="40">
        <v>0.38</v>
      </c>
      <c r="N161" s="36"/>
      <c r="O161" s="36"/>
      <c r="P161" s="36"/>
      <c r="Q161" s="36"/>
      <c r="R161" s="36"/>
      <c r="S161" s="48">
        <v>0.16</v>
      </c>
      <c r="T161" s="33">
        <f>ROUND((L161*I159+1.3*L161*K159+S161*H159),4)</f>
        <v>358.48950000000002</v>
      </c>
      <c r="U161" s="33">
        <f>ROUND((M161*0.9*I159+1.3*M161*0.9*K159+S161*H159),4)</f>
        <v>394.50389999999999</v>
      </c>
      <c r="V161" s="33">
        <f>ROUND((M161*I159+1.3*M161*K159+S161*H159),4)</f>
        <v>437.27100000000002</v>
      </c>
      <c r="W161" s="33">
        <f>ROUND((L161*J159+1.3*L161*N159+S161*G159),4)</f>
        <v>9.33</v>
      </c>
      <c r="X161" s="33">
        <f>ROUND((M161*0.9*J159+1.3*M161*0.9*N159+S161*G159),4)</f>
        <v>10.194000000000001</v>
      </c>
      <c r="Y161" s="33">
        <f>ROUND((M161*J159+1.3*M161*N159+S161*G159),4)</f>
        <v>11.22</v>
      </c>
      <c r="Z161" s="43">
        <f>ROUND((P159*T161*F159*O159/1000000),4)</f>
        <v>6.4500000000000002E-2</v>
      </c>
      <c r="AA161" s="43">
        <f>ROUND((Q159*U161*F159*O159/1000000),4)</f>
        <v>2.3699999999999999E-2</v>
      </c>
      <c r="AB161" s="43">
        <f>ROUND((R159*V161*F159*O159/1000000),4)</f>
        <v>2.6200000000000001E-2</v>
      </c>
      <c r="AC161" s="44" t="s">
        <v>167</v>
      </c>
      <c r="AD161" s="45" t="s">
        <v>115</v>
      </c>
      <c r="AE161" s="30">
        <f>ROUND((((X161*E159)/1800)),4)</f>
        <v>5.7000000000000002E-3</v>
      </c>
      <c r="AF161" s="30">
        <f>ROUND(((Z161+AA161+AB161)),5)</f>
        <v>0.1144</v>
      </c>
      <c r="AG161" s="50"/>
      <c r="AH161" s="50"/>
      <c r="AJ161" s="1"/>
    </row>
    <row r="162" spans="1:36" ht="12.95" customHeight="1" x14ac:dyDescent="0.25">
      <c r="A162" s="36"/>
      <c r="B162" s="35"/>
      <c r="C162" s="35"/>
      <c r="D162" s="36"/>
      <c r="E162" s="36"/>
      <c r="F162" s="36"/>
      <c r="G162" s="36"/>
      <c r="H162" s="36"/>
      <c r="I162" s="36"/>
      <c r="J162" s="36"/>
      <c r="K162" s="36"/>
      <c r="L162" s="40">
        <v>0.71</v>
      </c>
      <c r="M162" s="40">
        <v>0.85</v>
      </c>
      <c r="N162" s="36"/>
      <c r="O162" s="36"/>
      <c r="P162" s="36"/>
      <c r="Q162" s="36"/>
      <c r="R162" s="36"/>
      <c r="S162" s="49">
        <v>0.49</v>
      </c>
      <c r="T162" s="33">
        <f>ROUND((L162*I159+1.3*L162*K159+S162*H159),4)</f>
        <v>828.46950000000004</v>
      </c>
      <c r="U162" s="33">
        <f>ROUND((M162*0.9*I159+1.3*M162*0.9*K159+S162*H159),4)</f>
        <v>890.36929999999995</v>
      </c>
      <c r="V162" s="33">
        <f>ROUND((M162*I159+1.3*M162*K159+S162*H159),4)</f>
        <v>986.03250000000003</v>
      </c>
      <c r="W162" s="33">
        <f>ROUND((L162*J159+1.3*L162*N159+S162*G159),4)</f>
        <v>22.11</v>
      </c>
      <c r="X162" s="33">
        <f>ROUND((M162*0.9*J159+1.3*M162*0.9*N159+S162*G159),4)</f>
        <v>23.594999999999999</v>
      </c>
      <c r="Y162" s="33">
        <f>ROUND((M162*J159+1.3*N159+S162*G159),4)</f>
        <v>27.84</v>
      </c>
      <c r="Z162" s="43">
        <f>ROUND((P159*T162*F159*O159/1000000),4)</f>
        <v>0.14910000000000001</v>
      </c>
      <c r="AA162" s="43">
        <f>ROUND((Q159*U162*F159*O159/1000000),4)</f>
        <v>5.3400000000000003E-2</v>
      </c>
      <c r="AB162" s="43">
        <f>ROUND((R159*V162*F159*O159/1000000),4)</f>
        <v>5.9200000000000003E-2</v>
      </c>
      <c r="AC162" s="44" t="s">
        <v>168</v>
      </c>
      <c r="AD162" s="45" t="s">
        <v>169</v>
      </c>
      <c r="AE162" s="30">
        <f>ROUND((((X162*E159)/1800)),4)</f>
        <v>1.3100000000000001E-2</v>
      </c>
      <c r="AF162" s="30">
        <f>ROUND(((Z162+AA162+AB162)),4)</f>
        <v>0.26169999999999999</v>
      </c>
      <c r="AG162" s="50"/>
      <c r="AH162" s="50"/>
      <c r="AJ162" s="1"/>
    </row>
    <row r="163" spans="1:36" ht="12.95" customHeight="1" x14ac:dyDescent="0.25">
      <c r="A163" s="36"/>
      <c r="B163" s="35"/>
      <c r="C163" s="35"/>
      <c r="D163" s="36"/>
      <c r="E163" s="36"/>
      <c r="F163" s="36"/>
      <c r="G163" s="36"/>
      <c r="H163" s="36"/>
      <c r="I163" s="36"/>
      <c r="J163" s="36"/>
      <c r="K163" s="36"/>
      <c r="L163" s="40">
        <v>0.45</v>
      </c>
      <c r="M163" s="40">
        <v>0.67</v>
      </c>
      <c r="N163" s="36"/>
      <c r="O163" s="36"/>
      <c r="P163" s="36"/>
      <c r="Q163" s="36"/>
      <c r="R163" s="36"/>
      <c r="S163" s="49">
        <v>0.1</v>
      </c>
      <c r="T163" s="33">
        <f>ROUND((L163*I159+1.3*L163*K159+S163*H159),4)</f>
        <v>512.45249999999999</v>
      </c>
      <c r="U163" s="33">
        <f>ROUND((M163*0.9*I159+1.3*M163*0.9*K159+S163*H159),4)</f>
        <v>684.64639999999997</v>
      </c>
      <c r="V163" s="33">
        <f>ROUND((M163*I159+1.3*M163*K159+S163*H159),4)</f>
        <v>760.05150000000003</v>
      </c>
      <c r="W163" s="33">
        <f>ROUND((L163*J159+1.3*L163*N159+S163*G159),4)</f>
        <v>12.75</v>
      </c>
      <c r="X163" s="33">
        <f>ROUND((M163*0.9*J159+1.3*M163*0.9*N159+S163*G159),4)</f>
        <v>16.881</v>
      </c>
      <c r="Y163" s="33">
        <f>ROUND((M163*J159+1.3*M163*N159+S163*G159),4)</f>
        <v>18.690000000000001</v>
      </c>
      <c r="Z163" s="43">
        <f>ROUND((P159*T163*F159*O159/1000000),4)</f>
        <v>9.2200000000000004E-2</v>
      </c>
      <c r="AA163" s="43">
        <f>ROUND((Q159*U163*F159*O159/1000000),4)</f>
        <v>4.1099999999999998E-2</v>
      </c>
      <c r="AB163" s="43">
        <f>ROUND((R159*V163*F159*O159/1000000),4)</f>
        <v>4.5600000000000002E-2</v>
      </c>
      <c r="AC163" s="44" t="s">
        <v>170</v>
      </c>
      <c r="AD163" s="45" t="s">
        <v>119</v>
      </c>
      <c r="AE163" s="30">
        <f>ROUND((((X163*E159)/1800)),4)</f>
        <v>9.4000000000000004E-3</v>
      </c>
      <c r="AF163" s="30">
        <f>ROUND(((Z163+AA163+AB163)),4)</f>
        <v>0.1789</v>
      </c>
      <c r="AG163" s="50"/>
      <c r="AH163" s="50"/>
      <c r="AJ163" s="1"/>
    </row>
    <row r="164" spans="1:36" ht="12.95" customHeight="1" x14ac:dyDescent="0.25">
      <c r="A164" s="36"/>
      <c r="B164" s="41"/>
      <c r="C164" s="41"/>
      <c r="D164" s="37"/>
      <c r="E164" s="37"/>
      <c r="F164" s="37"/>
      <c r="G164" s="37"/>
      <c r="H164" s="37"/>
      <c r="I164" s="37"/>
      <c r="J164" s="37"/>
      <c r="K164" s="37"/>
      <c r="L164" s="40">
        <v>2.09</v>
      </c>
      <c r="M164" s="40">
        <v>2.5499999999999998</v>
      </c>
      <c r="N164" s="37"/>
      <c r="O164" s="37"/>
      <c r="P164" s="37"/>
      <c r="Q164" s="37"/>
      <c r="R164" s="37"/>
      <c r="S164" s="49">
        <v>3.91</v>
      </c>
      <c r="T164" s="33">
        <f>ROUND((L164*I159+1.3*L164*K159+S164*H159),4)</f>
        <v>2586.7905000000001</v>
      </c>
      <c r="U164" s="33">
        <f>ROUND((M164*0.9*I159+1.3*M164*0.9*K159+S164*H159),4)</f>
        <v>2817.5077999999999</v>
      </c>
      <c r="V164" s="33">
        <f>ROUND((M164*I159+1.3*M164*K159+S164*H159),4)</f>
        <v>3104.4974999999999</v>
      </c>
      <c r="W164" s="33">
        <f>ROUND((L164*J159+1.3*L164*N159+S164*G159),4)</f>
        <v>79.89</v>
      </c>
      <c r="X164" s="33">
        <f>ROUND((M164*0.9*J159+1.3*M164*0.9*N159+S164*G159),4)</f>
        <v>85.424999999999997</v>
      </c>
      <c r="Y164" s="33">
        <f>ROUND((M164*J159+1.3*M164*N159+S164*G159),4)</f>
        <v>92.31</v>
      </c>
      <c r="Z164" s="43">
        <f>ROUND((P159*T164*F159*O159/1000000),4)</f>
        <v>0.46560000000000001</v>
      </c>
      <c r="AA164" s="43">
        <f>ROUND((Q159*U164*F159*O159/1000000),4)</f>
        <v>0.1691</v>
      </c>
      <c r="AB164" s="43">
        <f>ROUND((R159*V164*F159*O159/1000000),4)</f>
        <v>0.18629999999999999</v>
      </c>
      <c r="AC164" s="44" t="s">
        <v>171</v>
      </c>
      <c r="AD164" s="45" t="s">
        <v>104</v>
      </c>
      <c r="AE164" s="30">
        <f>ROUND((((X164*E159)/1800)),4)</f>
        <v>4.7500000000000001E-2</v>
      </c>
      <c r="AF164" s="30">
        <f>ROUND(((Z164+AA164+AB164)),4)</f>
        <v>0.82099999999999995</v>
      </c>
      <c r="AG164" s="50"/>
      <c r="AH164" s="50"/>
      <c r="AJ164" s="1"/>
    </row>
    <row r="165" spans="1:36" ht="12.95" customHeight="1" x14ac:dyDescent="0.25">
      <c r="A165" s="23"/>
      <c r="B165" s="31" t="s">
        <v>200</v>
      </c>
      <c r="C165" s="31">
        <v>5</v>
      </c>
      <c r="D165" s="32" t="s">
        <v>173</v>
      </c>
      <c r="E165" s="32">
        <v>1</v>
      </c>
      <c r="F165" s="32">
        <v>2</v>
      </c>
      <c r="G165" s="32">
        <v>6</v>
      </c>
      <c r="H165" s="32">
        <v>60</v>
      </c>
      <c r="I165" s="32">
        <f>(8-1-0.75*2)*60*F165-K165-8*0.12*60</f>
        <v>173.4</v>
      </c>
      <c r="J165" s="32">
        <v>14</v>
      </c>
      <c r="K165" s="32">
        <f>(8-1-0.75*2)*0.65*60*F165</f>
        <v>429</v>
      </c>
      <c r="L165" s="33">
        <v>4.01</v>
      </c>
      <c r="M165" s="33">
        <v>4.01</v>
      </c>
      <c r="N165" s="32">
        <v>10</v>
      </c>
      <c r="O165" s="32">
        <f>E165/F165</f>
        <v>0.5</v>
      </c>
      <c r="P165" s="32">
        <v>120</v>
      </c>
      <c r="Q165" s="32">
        <v>30</v>
      </c>
      <c r="R165" s="42">
        <v>30</v>
      </c>
      <c r="S165" s="42">
        <v>0.78</v>
      </c>
      <c r="T165" s="33">
        <f>ROUND((L165*I165+1.3*L165*K165+S165*H165),4)</f>
        <v>2978.511</v>
      </c>
      <c r="U165" s="33">
        <f>ROUND((M165*I165+1.3*M165*K165+S165*H165),4)</f>
        <v>2978.511</v>
      </c>
      <c r="V165" s="33">
        <f>ROUND((M165*I165+1.3*M165*K165+S165*H165),4)</f>
        <v>2978.511</v>
      </c>
      <c r="W165" s="33">
        <f>ROUND((L165*J165+1.3*L165*N165+S165*G165),4)</f>
        <v>112.95</v>
      </c>
      <c r="X165" s="33">
        <f>ROUND((M165*J165+1.3*M165*N165+S165*G165),4)</f>
        <v>112.95</v>
      </c>
      <c r="Y165" s="33">
        <f>ROUND((M165*J165+1.3*M165*N165+S165*G165),4)</f>
        <v>112.95</v>
      </c>
      <c r="Z165" s="43">
        <f>ROUND((P165*T165*F165*O165/1000000),4)</f>
        <v>0.3574</v>
      </c>
      <c r="AA165" s="43">
        <f>ROUND((Q165*U165*F165*O165/1000000),4)</f>
        <v>8.9399999999999993E-2</v>
      </c>
      <c r="AB165" s="43">
        <f>ROUND((R165*V165*F165*O165/1000000),4)</f>
        <v>8.9399999999999993E-2</v>
      </c>
      <c r="AC165" s="44" t="s">
        <v>111</v>
      </c>
      <c r="AD165" s="45" t="s">
        <v>95</v>
      </c>
      <c r="AE165" s="30">
        <f>ROUND((((X165*E165)/1800)*0.8),4)</f>
        <v>5.0200000000000002E-2</v>
      </c>
      <c r="AF165" s="30">
        <f>ROUND(((Z165+AA165+AB165)*0.8),4)</f>
        <v>0.42899999999999999</v>
      </c>
      <c r="AG165" s="50"/>
      <c r="AH165" s="50"/>
    </row>
    <row r="166" spans="1:36" ht="12.95" customHeight="1" x14ac:dyDescent="0.25">
      <c r="A166" s="23"/>
      <c r="B166" s="34" t="s">
        <v>201</v>
      </c>
      <c r="C166" s="35"/>
      <c r="D166" s="36"/>
      <c r="E166" s="36"/>
      <c r="F166" s="36"/>
      <c r="G166" s="36"/>
      <c r="H166" s="36"/>
      <c r="I166" s="36"/>
      <c r="J166" s="36"/>
      <c r="K166" s="36"/>
      <c r="L166" s="37"/>
      <c r="M166" s="37"/>
      <c r="N166" s="36"/>
      <c r="O166" s="36"/>
      <c r="P166" s="36"/>
      <c r="Q166" s="36"/>
      <c r="R166" s="36"/>
      <c r="S166" s="46"/>
      <c r="T166" s="47"/>
      <c r="U166" s="47"/>
      <c r="V166" s="47"/>
      <c r="W166" s="47"/>
      <c r="X166" s="47"/>
      <c r="Y166" s="47"/>
      <c r="Z166" s="47"/>
      <c r="AA166" s="47"/>
      <c r="AB166" s="47"/>
      <c r="AC166" s="44" t="s">
        <v>112</v>
      </c>
      <c r="AD166" s="45" t="s">
        <v>113</v>
      </c>
      <c r="AE166" s="30">
        <f>ROUND((((X165*E165)/1800)*0.13),4)</f>
        <v>8.2000000000000007E-3</v>
      </c>
      <c r="AF166" s="30">
        <f>ROUND(((Z165+AA165+AB165)*0.13),4)</f>
        <v>6.9699999999999998E-2</v>
      </c>
      <c r="AG166" s="50"/>
      <c r="AH166" s="50"/>
    </row>
    <row r="167" spans="1:36" ht="12.95" customHeight="1" x14ac:dyDescent="0.25">
      <c r="A167" s="23"/>
      <c r="B167" s="35"/>
      <c r="C167" s="38"/>
      <c r="D167" s="39"/>
      <c r="E167" s="36"/>
      <c r="F167" s="36"/>
      <c r="G167" s="36"/>
      <c r="H167" s="36"/>
      <c r="I167" s="36"/>
      <c r="J167" s="36"/>
      <c r="K167" s="36"/>
      <c r="L167" s="40">
        <v>0.31</v>
      </c>
      <c r="M167" s="40">
        <v>0.38</v>
      </c>
      <c r="N167" s="36"/>
      <c r="O167" s="36"/>
      <c r="P167" s="36"/>
      <c r="Q167" s="36"/>
      <c r="R167" s="36"/>
      <c r="S167" s="48">
        <v>0.16</v>
      </c>
      <c r="T167" s="33">
        <f>ROUND((L167*I165+1.3*L167*K165+S167*H165),4)</f>
        <v>236.24100000000001</v>
      </c>
      <c r="U167" s="33">
        <f>ROUND((M167*0.9*I165+1.3*M167*0.9*K165+S167*H165),4)</f>
        <v>259.63619999999997</v>
      </c>
      <c r="V167" s="33">
        <f>ROUND((M167*I165+1.3*M167*K165+S167*H165),4)</f>
        <v>287.41800000000001</v>
      </c>
      <c r="W167" s="33">
        <f>ROUND((L167*J165+1.3*L167*N165+S167*G165),4)</f>
        <v>9.33</v>
      </c>
      <c r="X167" s="33">
        <f>ROUND((M167*0.9*J165+1.3*M167*0.9*N165+S167*G165),4)</f>
        <v>10.194000000000001</v>
      </c>
      <c r="Y167" s="33">
        <f>ROUND((M167*J165+1.3*M167*N165+S167*G165),4)</f>
        <v>11.22</v>
      </c>
      <c r="Z167" s="43">
        <f>ROUND((P165*T167*F165*O165/1000000),4)</f>
        <v>2.8299999999999999E-2</v>
      </c>
      <c r="AA167" s="43">
        <f>ROUND((Q165*U167*F165*O165/1000000),4)</f>
        <v>7.7999999999999996E-3</v>
      </c>
      <c r="AB167" s="43">
        <f>ROUND((R165*V167*F165*O165/1000000),4)</f>
        <v>8.6E-3</v>
      </c>
      <c r="AC167" s="44" t="s">
        <v>167</v>
      </c>
      <c r="AD167" s="45" t="s">
        <v>115</v>
      </c>
      <c r="AE167" s="30">
        <f>ROUND((((X167*E165)/1800)),4)</f>
        <v>5.7000000000000002E-3</v>
      </c>
      <c r="AF167" s="30">
        <f>ROUND(((Z167+AA167+AB167)),5)</f>
        <v>4.4699999999999997E-2</v>
      </c>
      <c r="AG167" s="50"/>
      <c r="AH167" s="50"/>
    </row>
    <row r="168" spans="1:36" ht="12.95" customHeight="1" x14ac:dyDescent="0.25">
      <c r="A168" s="23"/>
      <c r="B168" s="35"/>
      <c r="C168" s="35"/>
      <c r="D168" s="36"/>
      <c r="E168" s="36"/>
      <c r="F168" s="36"/>
      <c r="G168" s="36"/>
      <c r="H168" s="36"/>
      <c r="I168" s="36"/>
      <c r="J168" s="36"/>
      <c r="K168" s="36"/>
      <c r="L168" s="40">
        <v>0.71</v>
      </c>
      <c r="M168" s="40">
        <v>0.85</v>
      </c>
      <c r="N168" s="36"/>
      <c r="O168" s="36"/>
      <c r="P168" s="36"/>
      <c r="Q168" s="36"/>
      <c r="R168" s="36"/>
      <c r="S168" s="49">
        <v>0.49</v>
      </c>
      <c r="T168" s="33">
        <f>ROUND((L168*I165+1.3*L168*K165+S168*H165),4)</f>
        <v>548.48099999999999</v>
      </c>
      <c r="U168" s="33">
        <f>ROUND((M168*0.9*I165+1.3*M168*0.9*K165+S168*H165),4)</f>
        <v>588.69150000000002</v>
      </c>
      <c r="V168" s="33">
        <f>ROUND((M168*I165+1.3*M168*K165+S168*H165),4)</f>
        <v>650.83500000000004</v>
      </c>
      <c r="W168" s="33">
        <f>ROUND((L168*J165+1.3*L168*N165+S168*G165),4)</f>
        <v>22.11</v>
      </c>
      <c r="X168" s="33">
        <f>ROUND((M168*0.9*J165+1.3*M168*0.9*N165+S168*G165),4)</f>
        <v>23.594999999999999</v>
      </c>
      <c r="Y168" s="33">
        <f>ROUND((M168*J165+1.3*N165+S168*G165),4)</f>
        <v>27.84</v>
      </c>
      <c r="Z168" s="43">
        <f>ROUND((P165*T168*F165*O165/1000000),4)</f>
        <v>6.5799999999999997E-2</v>
      </c>
      <c r="AA168" s="43">
        <f>ROUND((Q165*U168*F165*O165/1000000),4)</f>
        <v>1.77E-2</v>
      </c>
      <c r="AB168" s="43">
        <f>ROUND((R165*V168*F165*O165/1000000),4)</f>
        <v>1.95E-2</v>
      </c>
      <c r="AC168" s="44" t="s">
        <v>168</v>
      </c>
      <c r="AD168" s="45" t="s">
        <v>169</v>
      </c>
      <c r="AE168" s="30">
        <f>ROUND((((X168*E165)/1800)),4)</f>
        <v>1.3100000000000001E-2</v>
      </c>
      <c r="AF168" s="30">
        <f>ROUND(((Z168+AA168+AB168)),4)</f>
        <v>0.10299999999999999</v>
      </c>
      <c r="AG168" s="50"/>
      <c r="AH168" s="50"/>
    </row>
    <row r="169" spans="1:36" ht="12.95" customHeight="1" x14ac:dyDescent="0.25">
      <c r="A169" s="23"/>
      <c r="B169" s="35"/>
      <c r="C169" s="35"/>
      <c r="D169" s="36"/>
      <c r="E169" s="36"/>
      <c r="F169" s="36"/>
      <c r="G169" s="36"/>
      <c r="H169" s="36"/>
      <c r="I169" s="36"/>
      <c r="J169" s="36"/>
      <c r="K169" s="36"/>
      <c r="L169" s="40">
        <v>0.45</v>
      </c>
      <c r="M169" s="40">
        <v>0.67</v>
      </c>
      <c r="N169" s="36"/>
      <c r="O169" s="36"/>
      <c r="P169" s="36"/>
      <c r="Q169" s="36"/>
      <c r="R169" s="36"/>
      <c r="S169" s="49">
        <v>0.1</v>
      </c>
      <c r="T169" s="33">
        <f>ROUND((L169*I165+1.3*L169*K165+S169*H165),4)</f>
        <v>334.995</v>
      </c>
      <c r="U169" s="33">
        <f>ROUND((M169*0.9*I165+1.3*M169*0.9*K165+S169*H165),4)</f>
        <v>446.85329999999999</v>
      </c>
      <c r="V169" s="33">
        <f>ROUND((M169*I165+1.3*M169*K165+S169*H165),4)</f>
        <v>495.83699999999999</v>
      </c>
      <c r="W169" s="33">
        <f>ROUND((L169*J165+1.3*L169*N165+S169*G165),4)</f>
        <v>12.75</v>
      </c>
      <c r="X169" s="33">
        <f>ROUND((M169*0.9*J165+1.3*M169*0.9*N165+S169*G165),4)</f>
        <v>16.881</v>
      </c>
      <c r="Y169" s="33">
        <f>ROUND((M169*J165+1.3*M169*N165+S169*G165),4)</f>
        <v>18.690000000000001</v>
      </c>
      <c r="Z169" s="43">
        <f>ROUND((P165*T169*F165*O165/1000000),4)</f>
        <v>4.02E-2</v>
      </c>
      <c r="AA169" s="43">
        <f>ROUND((Q165*U169*F165*O165/1000000),4)</f>
        <v>1.34E-2</v>
      </c>
      <c r="AB169" s="43">
        <f>ROUND((R165*V169*F165*O165/1000000),4)</f>
        <v>1.49E-2</v>
      </c>
      <c r="AC169" s="44" t="s">
        <v>170</v>
      </c>
      <c r="AD169" s="45" t="s">
        <v>119</v>
      </c>
      <c r="AE169" s="30">
        <f>ROUND((((X169*E165)/1800)),4)</f>
        <v>9.4000000000000004E-3</v>
      </c>
      <c r="AF169" s="30">
        <f>ROUND(((Z169+AA169+AB169)),4)</f>
        <v>6.8500000000000005E-2</v>
      </c>
      <c r="AG169" s="50"/>
      <c r="AH169" s="50"/>
    </row>
    <row r="170" spans="1:36" ht="12.95" customHeight="1" x14ac:dyDescent="0.25">
      <c r="A170" s="23"/>
      <c r="B170" s="41"/>
      <c r="C170" s="41"/>
      <c r="D170" s="37"/>
      <c r="E170" s="37"/>
      <c r="F170" s="37"/>
      <c r="G170" s="37"/>
      <c r="H170" s="37"/>
      <c r="I170" s="37"/>
      <c r="J170" s="37"/>
      <c r="K170" s="37"/>
      <c r="L170" s="40">
        <v>2.09</v>
      </c>
      <c r="M170" s="40">
        <v>2.5499999999999998</v>
      </c>
      <c r="N170" s="37"/>
      <c r="O170" s="37"/>
      <c r="P170" s="37"/>
      <c r="Q170" s="37"/>
      <c r="R170" s="37"/>
      <c r="S170" s="49">
        <v>3.91</v>
      </c>
      <c r="T170" s="33">
        <f>ROUND((L170*I165+1.3*L170*K165+S170*H165),4)</f>
        <v>1762.5989999999999</v>
      </c>
      <c r="U170" s="33">
        <f>ROUND((M170*0.9*I165+1.3*M170*0.9*K165+S170*H165),4)</f>
        <v>1912.4745</v>
      </c>
      <c r="V170" s="33">
        <f>ROUND((M170*I165+1.3*M170*K165+S170*H165),4)</f>
        <v>2098.9050000000002</v>
      </c>
      <c r="W170" s="33">
        <f>ROUND((L170*J165+1.3*L170*N165+S170*G165),4)</f>
        <v>79.89</v>
      </c>
      <c r="X170" s="33">
        <f>ROUND((M170*0.9*J165+1.3*M170*0.9*N165+S170*G165),4)</f>
        <v>85.424999999999997</v>
      </c>
      <c r="Y170" s="33">
        <f>ROUND((M170*J165+1.3*M170*N165+S170*G165),4)</f>
        <v>92.31</v>
      </c>
      <c r="Z170" s="43">
        <f>ROUND((P165*T170*F165*O165/1000000),4)</f>
        <v>0.21149999999999999</v>
      </c>
      <c r="AA170" s="43">
        <f>ROUND((Q165*U170*F165*O165/1000000),4)</f>
        <v>5.74E-2</v>
      </c>
      <c r="AB170" s="43">
        <f>ROUND((R165*V170*F165*O165/1000000),4)</f>
        <v>6.3E-2</v>
      </c>
      <c r="AC170" s="44" t="s">
        <v>171</v>
      </c>
      <c r="AD170" s="45" t="s">
        <v>104</v>
      </c>
      <c r="AE170" s="30">
        <f>ROUND((((X170*E165)/1800)),4)</f>
        <v>4.7500000000000001E-2</v>
      </c>
      <c r="AF170" s="30">
        <f>ROUND(((Z170+AA170+AB170)),4)</f>
        <v>0.33189999999999997</v>
      </c>
      <c r="AG170" s="50"/>
      <c r="AH170" s="50"/>
    </row>
    <row r="171" spans="1:36" ht="12.95" customHeight="1" x14ac:dyDescent="0.25">
      <c r="A171" s="36"/>
      <c r="B171" s="31" t="s">
        <v>172</v>
      </c>
      <c r="C171" s="31">
        <v>6</v>
      </c>
      <c r="D171" s="32" t="s">
        <v>175</v>
      </c>
      <c r="E171" s="32">
        <v>1</v>
      </c>
      <c r="F171" s="32">
        <v>3</v>
      </c>
      <c r="G171" s="32">
        <v>6</v>
      </c>
      <c r="H171" s="32">
        <v>60</v>
      </c>
      <c r="I171" s="32">
        <f>(8-1-0.75*2)*60*F171-K171-8*0.12*60</f>
        <v>288.89999999999998</v>
      </c>
      <c r="J171" s="32">
        <v>14</v>
      </c>
      <c r="K171" s="32">
        <f>(8-1-0.75*2)*0.65*60*F171</f>
        <v>643.5</v>
      </c>
      <c r="L171" s="33">
        <v>6.47</v>
      </c>
      <c r="M171" s="33">
        <v>6.47</v>
      </c>
      <c r="N171" s="32">
        <v>10</v>
      </c>
      <c r="O171" s="32">
        <f>E171/F171</f>
        <v>0.33333333333333331</v>
      </c>
      <c r="P171" s="32">
        <v>180</v>
      </c>
      <c r="Q171" s="32">
        <v>60</v>
      </c>
      <c r="R171" s="42">
        <v>60</v>
      </c>
      <c r="S171" s="42">
        <v>1.27</v>
      </c>
      <c r="T171" s="33">
        <f>ROUND((L171*I171+1.3*L171*K171+S171*H171),4)</f>
        <v>7357.8615</v>
      </c>
      <c r="U171" s="33">
        <f>ROUND((M171*I171+1.3*M171*K171+S171*H171),4)</f>
        <v>7357.8615</v>
      </c>
      <c r="V171" s="33">
        <f>ROUND((M171*I171+1.3*M171*K171+S171*H171),4)</f>
        <v>7357.8615</v>
      </c>
      <c r="W171" s="33">
        <f>ROUND((L171*J171+1.3*L171*N171+S171*G171),4)</f>
        <v>182.31</v>
      </c>
      <c r="X171" s="33">
        <f>ROUND((M171*J171+1.3*M171*N171+S171*G171),4)</f>
        <v>182.31</v>
      </c>
      <c r="Y171" s="33">
        <f>ROUND((M171*J171+1.3*M171*N171+S171*G171),4)</f>
        <v>182.31</v>
      </c>
      <c r="Z171" s="43">
        <f>ROUND((P171*T171*F171*O171/1000000),4)</f>
        <v>1.3244</v>
      </c>
      <c r="AA171" s="43">
        <f>ROUND((Q171*U171*F171*O171/1000000),4)</f>
        <v>0.4415</v>
      </c>
      <c r="AB171" s="43">
        <f>ROUND((R171*V171*F171*O171/1000000),4)</f>
        <v>0.4415</v>
      </c>
      <c r="AC171" s="44" t="s">
        <v>111</v>
      </c>
      <c r="AD171" s="45" t="s">
        <v>95</v>
      </c>
      <c r="AE171" s="30">
        <f>ROUND((((X171*E171)/1800)*0.8),4)</f>
        <v>8.1000000000000003E-2</v>
      </c>
      <c r="AF171" s="30">
        <f>ROUND(((Z171+AA171+AB171)*0.8),4)</f>
        <v>1.7659</v>
      </c>
      <c r="AG171" s="50"/>
      <c r="AH171" s="50"/>
      <c r="AI171" s="1"/>
    </row>
    <row r="172" spans="1:36" ht="12.95" customHeight="1" x14ac:dyDescent="0.25">
      <c r="A172" s="36"/>
      <c r="B172" s="35" t="s">
        <v>176</v>
      </c>
      <c r="C172" s="36"/>
      <c r="D172" s="36"/>
      <c r="E172" s="36"/>
      <c r="F172" s="36"/>
      <c r="G172" s="36"/>
      <c r="H172" s="36"/>
      <c r="I172" s="36"/>
      <c r="J172" s="36"/>
      <c r="K172" s="36"/>
      <c r="L172" s="37"/>
      <c r="M172" s="37"/>
      <c r="N172" s="36"/>
      <c r="O172" s="36"/>
      <c r="P172" s="36"/>
      <c r="Q172" s="36"/>
      <c r="R172" s="36"/>
      <c r="S172" s="46"/>
      <c r="T172" s="47"/>
      <c r="U172" s="47"/>
      <c r="V172" s="47"/>
      <c r="W172" s="47"/>
      <c r="X172" s="47"/>
      <c r="Y172" s="47"/>
      <c r="Z172" s="47"/>
      <c r="AA172" s="47"/>
      <c r="AB172" s="47"/>
      <c r="AC172" s="44" t="s">
        <v>112</v>
      </c>
      <c r="AD172" s="45" t="s">
        <v>113</v>
      </c>
      <c r="AE172" s="30">
        <f>ROUND((((X171*E171)/1800)*0.13),4)</f>
        <v>1.32E-2</v>
      </c>
      <c r="AF172" s="30">
        <f>ROUND(((Z171+AA171+AB171)*0.13),4)</f>
        <v>0.28699999999999998</v>
      </c>
      <c r="AG172" s="50"/>
      <c r="AH172" s="50"/>
      <c r="AI172" s="1"/>
      <c r="AJ172" s="1"/>
    </row>
    <row r="173" spans="1:36" ht="12.95" customHeight="1" x14ac:dyDescent="0.25">
      <c r="A173" s="36"/>
      <c r="B173" s="50"/>
      <c r="C173" s="39"/>
      <c r="D173" s="39"/>
      <c r="E173" s="36"/>
      <c r="F173" s="36"/>
      <c r="G173" s="36"/>
      <c r="H173" s="36"/>
      <c r="I173" s="36"/>
      <c r="J173" s="36"/>
      <c r="K173" s="36"/>
      <c r="L173" s="40">
        <v>0.51</v>
      </c>
      <c r="M173" s="40">
        <v>0.63</v>
      </c>
      <c r="N173" s="36"/>
      <c r="O173" s="36"/>
      <c r="P173" s="36"/>
      <c r="Q173" s="36"/>
      <c r="R173" s="36"/>
      <c r="S173" s="48">
        <v>0.25</v>
      </c>
      <c r="T173" s="33">
        <f>ROUND((L173*I171+1.3*L173*K171+S173*H171),4)</f>
        <v>588.97950000000003</v>
      </c>
      <c r="U173" s="33">
        <f>ROUND((M173*0.9*I171+1.3*M173*0.9*K171+S173*H171),4)</f>
        <v>653.13019999999995</v>
      </c>
      <c r="V173" s="33">
        <f>ROUND((M173*I171+1.3*M173*K171+S173*H171),4)</f>
        <v>724.0335</v>
      </c>
      <c r="W173" s="33">
        <f>ROUND((L173*J171+1.3*L173*N171+S173*G171),4)</f>
        <v>15.27</v>
      </c>
      <c r="X173" s="33">
        <f>ROUND((M173*0.9*J171+1.3*M173*0.9*N171+S173*G171),4)</f>
        <v>16.809000000000001</v>
      </c>
      <c r="Y173" s="33">
        <f>ROUND((M173*J171+1.3*M173*N171+S173*G171),4)</f>
        <v>18.510000000000002</v>
      </c>
      <c r="Z173" s="43">
        <f>ROUND((P171*T173*F171*O171/1000000),4)</f>
        <v>0.106</v>
      </c>
      <c r="AA173" s="43">
        <f>ROUND((Q171*U173*F171*O171/1000000),4)</f>
        <v>3.9199999999999999E-2</v>
      </c>
      <c r="AB173" s="43">
        <f>ROUND((R171*V173*F171*O171/1000000),4)</f>
        <v>4.3400000000000001E-2</v>
      </c>
      <c r="AC173" s="44" t="s">
        <v>167</v>
      </c>
      <c r="AD173" s="45" t="s">
        <v>115</v>
      </c>
      <c r="AE173" s="30">
        <f>ROUND((((X173*E171)/1800)),4)</f>
        <v>9.2999999999999992E-3</v>
      </c>
      <c r="AF173" s="30">
        <f>ROUND(((Z173+AA173+AB173)),5)</f>
        <v>0.18859999999999999</v>
      </c>
      <c r="AG173" s="50"/>
      <c r="AH173" s="50"/>
      <c r="AI173" s="1"/>
      <c r="AJ173" s="1"/>
    </row>
    <row r="174" spans="1:36" ht="12.95" customHeight="1" x14ac:dyDescent="0.25">
      <c r="A174" s="36"/>
      <c r="B174" s="35"/>
      <c r="C174" s="36"/>
      <c r="D174" s="36"/>
      <c r="E174" s="36"/>
      <c r="F174" s="36"/>
      <c r="G174" s="36"/>
      <c r="H174" s="36"/>
      <c r="I174" s="36"/>
      <c r="J174" s="36"/>
      <c r="K174" s="36"/>
      <c r="L174" s="40">
        <v>1.1399999999999999</v>
      </c>
      <c r="M174" s="40">
        <v>1.37</v>
      </c>
      <c r="N174" s="36"/>
      <c r="O174" s="36"/>
      <c r="P174" s="36"/>
      <c r="Q174" s="36"/>
      <c r="R174" s="36"/>
      <c r="S174" s="49">
        <v>0.79</v>
      </c>
      <c r="T174" s="33">
        <f>ROUND((L174*I171+1.3*L174*K171+S174*H171),4)</f>
        <v>1330.413</v>
      </c>
      <c r="U174" s="33">
        <f>ROUND((M174*0.9*I171+1.3*M174*0.9*K171+S174*H171),4)</f>
        <v>1435.0799</v>
      </c>
      <c r="V174" s="33">
        <f>ROUND((M174*I171+1.3*M174*K171+S174*H171),4)</f>
        <v>1589.2665</v>
      </c>
      <c r="W174" s="33">
        <f>ROUND((L174*J171+1.3*L174*N171+S174*G171),4)</f>
        <v>35.520000000000003</v>
      </c>
      <c r="X174" s="33">
        <f>ROUND((M174*0.9*J171+1.3*M174*0.9*N171+S174*G171),4)</f>
        <v>38.030999999999999</v>
      </c>
      <c r="Y174" s="33">
        <f>ROUND((M174*J171+1.3*N171+S174*G171),4)</f>
        <v>36.92</v>
      </c>
      <c r="Z174" s="43">
        <f>ROUND((P171*T174*F171*O171/1000000),4)</f>
        <v>0.23949999999999999</v>
      </c>
      <c r="AA174" s="43">
        <f>ROUND((Q171*U174*F171*O171/1000000),4)</f>
        <v>8.6099999999999996E-2</v>
      </c>
      <c r="AB174" s="43">
        <f>ROUND((R171*V174*F171*O171/1000000),4)</f>
        <v>9.5399999999999999E-2</v>
      </c>
      <c r="AC174" s="44" t="s">
        <v>168</v>
      </c>
      <c r="AD174" s="45" t="s">
        <v>169</v>
      </c>
      <c r="AE174" s="30">
        <f>ROUND((((X174*E171)/1800)),4)</f>
        <v>2.1100000000000001E-2</v>
      </c>
      <c r="AF174" s="30">
        <f>ROUND(((Z174+AA174+AB174)),4)</f>
        <v>0.42099999999999999</v>
      </c>
      <c r="AG174" s="50"/>
      <c r="AH174" s="50"/>
      <c r="AI174" s="1"/>
      <c r="AJ174" s="1"/>
    </row>
    <row r="175" spans="1:36" ht="12.95" customHeight="1" x14ac:dyDescent="0.25">
      <c r="A175" s="36"/>
      <c r="B175" s="35"/>
      <c r="C175" s="36"/>
      <c r="D175" s="36"/>
      <c r="E175" s="36"/>
      <c r="F175" s="36"/>
      <c r="G175" s="36"/>
      <c r="H175" s="36"/>
      <c r="I175" s="36"/>
      <c r="J175" s="36"/>
      <c r="K175" s="36"/>
      <c r="L175" s="40">
        <v>0.72</v>
      </c>
      <c r="M175" s="40">
        <v>1.08</v>
      </c>
      <c r="N175" s="36"/>
      <c r="O175" s="36"/>
      <c r="P175" s="36"/>
      <c r="Q175" s="36"/>
      <c r="R175" s="36"/>
      <c r="S175" s="49">
        <v>0.17</v>
      </c>
      <c r="T175" s="33">
        <f>ROUND((L175*I171+1.3*L175*K171+S175*H171),4)</f>
        <v>820.524</v>
      </c>
      <c r="U175" s="33">
        <f>ROUND((M175*0.9*I171+1.3*M175*0.9*K171+S175*H171),4)</f>
        <v>1104.1374000000001</v>
      </c>
      <c r="V175" s="33">
        <f>ROUND((M175*I171+1.3*M175*K171+S175*H171),4)</f>
        <v>1225.6859999999999</v>
      </c>
      <c r="W175" s="33">
        <f>ROUND((L175*J171+1.3*L175*N171+S175*G171),4)</f>
        <v>20.46</v>
      </c>
      <c r="X175" s="33">
        <f>ROUND((M175*0.9*J171+1.3*M175*0.9*N171+S175*G171),4)</f>
        <v>27.263999999999999</v>
      </c>
      <c r="Y175" s="33">
        <f>ROUND((M175*J171+1.3*M175*N171+S175*G171),4)</f>
        <v>30.18</v>
      </c>
      <c r="Z175" s="43">
        <f>ROUND((P171*T175*F171*O171/1000000),4)</f>
        <v>0.1477</v>
      </c>
      <c r="AA175" s="43">
        <f>ROUND((Q171*U175*F171*O171/1000000),4)</f>
        <v>6.6199999999999995E-2</v>
      </c>
      <c r="AB175" s="43">
        <f>ROUND((R171*V175*F171*O171/1000000),4)</f>
        <v>7.3499999999999996E-2</v>
      </c>
      <c r="AC175" s="44" t="s">
        <v>170</v>
      </c>
      <c r="AD175" s="45" t="s">
        <v>119</v>
      </c>
      <c r="AE175" s="30">
        <f>ROUND((((X175*E171)/1800)),4)</f>
        <v>1.5100000000000001E-2</v>
      </c>
      <c r="AF175" s="30">
        <f>ROUND(((Z175+AA175+AB175)),4)</f>
        <v>0.28739999999999999</v>
      </c>
      <c r="AG175" s="50"/>
      <c r="AH175" s="50"/>
      <c r="AI175" s="1"/>
      <c r="AJ175" s="1"/>
    </row>
    <row r="176" spans="1:36" ht="12.95" customHeight="1" x14ac:dyDescent="0.25">
      <c r="A176" s="36"/>
      <c r="B176" s="41"/>
      <c r="C176" s="37"/>
      <c r="D176" s="37"/>
      <c r="E176" s="37"/>
      <c r="F176" s="37"/>
      <c r="G176" s="37"/>
      <c r="H176" s="37"/>
      <c r="I176" s="37"/>
      <c r="J176" s="37"/>
      <c r="K176" s="37"/>
      <c r="L176" s="40">
        <v>3.37</v>
      </c>
      <c r="M176" s="40">
        <v>4.1100000000000003</v>
      </c>
      <c r="N176" s="37"/>
      <c r="O176" s="37"/>
      <c r="P176" s="37"/>
      <c r="Q176" s="37"/>
      <c r="R176" s="37"/>
      <c r="S176" s="49">
        <v>6.31</v>
      </c>
      <c r="T176" s="33">
        <f>ROUND((L176*I171+1.3*L176*K171+S176*H171),4)</f>
        <v>4171.3665000000001</v>
      </c>
      <c r="U176" s="33">
        <f>ROUND((M176*0.9*I171+1.3*M176*0.9*K171+S176*H171),4)</f>
        <v>4541.6396000000004</v>
      </c>
      <c r="V176" s="33">
        <f>ROUND((M176*I171+1.3*M176*K171+S176*H171),4)</f>
        <v>5004.1994999999997</v>
      </c>
      <c r="W176" s="33">
        <f>ROUND((L176*J171+1.3*L176*N171+S176*G171),4)</f>
        <v>128.85</v>
      </c>
      <c r="X176" s="33">
        <f>ROUND((M176*0.9*J171+1.3*M176*0.9*N171+S176*G171),4)</f>
        <v>137.733</v>
      </c>
      <c r="Y176" s="33">
        <f>ROUND((M176*J171+1.3*M176*N171+S176*G171),4)</f>
        <v>148.83000000000001</v>
      </c>
      <c r="Z176" s="43">
        <f>ROUND((P171*T176*F171*O171/1000000),4)</f>
        <v>0.75080000000000002</v>
      </c>
      <c r="AA176" s="43">
        <f>ROUND((Q171*U176*F171*O171/1000000),4)</f>
        <v>0.27250000000000002</v>
      </c>
      <c r="AB176" s="43">
        <f>ROUND((R171*V176*F171*O171/1000000),4)</f>
        <v>0.30030000000000001</v>
      </c>
      <c r="AC176" s="44" t="s">
        <v>171</v>
      </c>
      <c r="AD176" s="45" t="s">
        <v>104</v>
      </c>
      <c r="AE176" s="30">
        <f>ROUND((((X176*E171)/1800)),4)</f>
        <v>7.6499999999999999E-2</v>
      </c>
      <c r="AF176" s="30">
        <f>ROUND(((Z176+AA176+AB176)),4)</f>
        <v>1.3236000000000001</v>
      </c>
      <c r="AG176" s="50"/>
      <c r="AH176" s="50"/>
      <c r="AI176" s="1"/>
      <c r="AJ176" s="1"/>
    </row>
    <row r="177" spans="1:36" ht="12.95" customHeight="1" x14ac:dyDescent="0.25">
      <c r="A177" s="36"/>
      <c r="B177" s="50" t="s">
        <v>177</v>
      </c>
      <c r="C177" s="31">
        <v>6</v>
      </c>
      <c r="D177" s="32" t="s">
        <v>175</v>
      </c>
      <c r="E177" s="32">
        <v>1</v>
      </c>
      <c r="F177" s="32">
        <v>2</v>
      </c>
      <c r="G177" s="32">
        <v>6</v>
      </c>
      <c r="H177" s="32">
        <v>60</v>
      </c>
      <c r="I177" s="32">
        <f>(8-1-0.75*2)*60*F177-K177-8*0.12*60</f>
        <v>173.4</v>
      </c>
      <c r="J177" s="32">
        <v>14</v>
      </c>
      <c r="K177" s="32">
        <f>(8-1-0.75*2)*0.65*60*F177</f>
        <v>429</v>
      </c>
      <c r="L177" s="33">
        <v>6.47</v>
      </c>
      <c r="M177" s="33">
        <v>6.47</v>
      </c>
      <c r="N177" s="32">
        <v>10</v>
      </c>
      <c r="O177" s="32">
        <f>E177/F177</f>
        <v>0.5</v>
      </c>
      <c r="P177" s="32">
        <v>180</v>
      </c>
      <c r="Q177" s="32">
        <v>30</v>
      </c>
      <c r="R177" s="42">
        <v>30</v>
      </c>
      <c r="S177" s="42">
        <v>1.27</v>
      </c>
      <c r="T177" s="33">
        <f>ROUND((L177*I177+1.3*L177*K177+S177*H177),4)</f>
        <v>4806.4170000000004</v>
      </c>
      <c r="U177" s="33">
        <f>ROUND((M177*I177+1.3*M177*K177+S177*H177),4)</f>
        <v>4806.4170000000004</v>
      </c>
      <c r="V177" s="33">
        <f>ROUND((M177*I177+1.3*M177*K177+S177*H177),4)</f>
        <v>4806.4170000000004</v>
      </c>
      <c r="W177" s="33">
        <f>ROUND((L177*J177+1.3*L177*N177+S177*G177),4)</f>
        <v>182.31</v>
      </c>
      <c r="X177" s="33">
        <f>ROUND((M177*J177+1.3*M177*N177+S177*G177),4)</f>
        <v>182.31</v>
      </c>
      <c r="Y177" s="33">
        <f>ROUND((M177*J177+1.3*M177*N177+S177*G177),4)</f>
        <v>182.31</v>
      </c>
      <c r="Z177" s="43">
        <f>ROUND((P177*T177*F177*O177/1000000),4)</f>
        <v>0.86519999999999997</v>
      </c>
      <c r="AA177" s="43">
        <f>ROUND((Q177*U177*F177*O177/1000000),4)</f>
        <v>0.14419999999999999</v>
      </c>
      <c r="AB177" s="43">
        <f>ROUND((R177*V177*F177*O177/1000000),4)</f>
        <v>0.14419999999999999</v>
      </c>
      <c r="AC177" s="44" t="s">
        <v>111</v>
      </c>
      <c r="AD177" s="45" t="s">
        <v>95</v>
      </c>
      <c r="AE177" s="30">
        <f>ROUND((((X177*E177)/1800)*0.8),4)</f>
        <v>8.1000000000000003E-2</v>
      </c>
      <c r="AF177" s="30">
        <f>ROUND(((Z177+AA177+AB177)*0.8),4)</f>
        <v>0.92290000000000005</v>
      </c>
      <c r="AG177" s="50"/>
      <c r="AH177" s="50"/>
      <c r="AI177" s="1"/>
    </row>
    <row r="178" spans="1:36" ht="12.95" customHeight="1" x14ac:dyDescent="0.25">
      <c r="A178" s="36"/>
      <c r="B178" s="35" t="s">
        <v>178</v>
      </c>
      <c r="C178" s="36"/>
      <c r="D178" s="36"/>
      <c r="E178" s="36"/>
      <c r="F178" s="36"/>
      <c r="G178" s="36"/>
      <c r="H178" s="36"/>
      <c r="I178" s="36"/>
      <c r="J178" s="36"/>
      <c r="K178" s="36"/>
      <c r="L178" s="37"/>
      <c r="M178" s="37"/>
      <c r="N178" s="36"/>
      <c r="O178" s="36"/>
      <c r="P178" s="36"/>
      <c r="Q178" s="36"/>
      <c r="R178" s="36"/>
      <c r="S178" s="46"/>
      <c r="T178" s="47"/>
      <c r="U178" s="47"/>
      <c r="V178" s="47"/>
      <c r="W178" s="47"/>
      <c r="X178" s="47"/>
      <c r="Y178" s="47"/>
      <c r="Z178" s="47"/>
      <c r="AA178" s="47"/>
      <c r="AB178" s="47"/>
      <c r="AC178" s="44" t="s">
        <v>112</v>
      </c>
      <c r="AD178" s="45" t="s">
        <v>113</v>
      </c>
      <c r="AE178" s="30">
        <f>ROUND((((X177*E177)/1800)*0.13),4)</f>
        <v>1.32E-2</v>
      </c>
      <c r="AF178" s="30">
        <f>ROUND(((Z177+AA177+AB177)*0.13),4)</f>
        <v>0.15</v>
      </c>
      <c r="AG178" s="50"/>
      <c r="AH178" s="50"/>
      <c r="AI178" s="1"/>
      <c r="AJ178" s="1"/>
    </row>
    <row r="179" spans="1:36" ht="12.95" customHeight="1" x14ac:dyDescent="0.25">
      <c r="A179" s="36"/>
      <c r="C179" s="39"/>
      <c r="D179" s="39"/>
      <c r="E179" s="36"/>
      <c r="F179" s="36"/>
      <c r="G179" s="36"/>
      <c r="H179" s="36"/>
      <c r="I179" s="36"/>
      <c r="J179" s="36"/>
      <c r="K179" s="36"/>
      <c r="L179" s="40">
        <v>0.51</v>
      </c>
      <c r="M179" s="40">
        <v>0.63</v>
      </c>
      <c r="N179" s="36"/>
      <c r="O179" s="36"/>
      <c r="P179" s="36"/>
      <c r="Q179" s="36"/>
      <c r="R179" s="36"/>
      <c r="S179" s="48">
        <v>0.25</v>
      </c>
      <c r="T179" s="33">
        <f>ROUND((L179*I177+1.3*L179*K177+S179*H177),4)</f>
        <v>387.86099999999999</v>
      </c>
      <c r="U179" s="33">
        <f>ROUND((M179*0.9*I177+1.3*M179*0.9*K177+S179*H177),4)</f>
        <v>429.53370000000001</v>
      </c>
      <c r="V179" s="33">
        <f>ROUND((M179*I177+1.3*M179*K177+S179*H177),4)</f>
        <v>475.59300000000002</v>
      </c>
      <c r="W179" s="33">
        <f>ROUND((L179*J177+1.3*L179*N177+S179*G177),4)</f>
        <v>15.27</v>
      </c>
      <c r="X179" s="33">
        <f>ROUND((M179*0.9*J177+1.3*M179*0.9*N177+S179*G177),4)</f>
        <v>16.809000000000001</v>
      </c>
      <c r="Y179" s="33">
        <f>ROUND((M179*J177+1.3*M179*N177+S179*G177),4)</f>
        <v>18.510000000000002</v>
      </c>
      <c r="Z179" s="43">
        <f>ROUND((P177*T179*F177*O177/1000000),4)</f>
        <v>6.9800000000000001E-2</v>
      </c>
      <c r="AA179" s="43">
        <f>ROUND((Q177*U179*F177*O177/1000000),4)</f>
        <v>1.29E-2</v>
      </c>
      <c r="AB179" s="43">
        <f>ROUND((R177*V179*F177*O177/1000000),4)</f>
        <v>1.43E-2</v>
      </c>
      <c r="AC179" s="44" t="s">
        <v>167</v>
      </c>
      <c r="AD179" s="45" t="s">
        <v>115</v>
      </c>
      <c r="AE179" s="30">
        <f>ROUND((((X179*E177)/1800)),4)</f>
        <v>9.2999999999999992E-3</v>
      </c>
      <c r="AF179" s="30">
        <f>ROUND(((Z179+AA179+AB179)),5)</f>
        <v>9.7000000000000003E-2</v>
      </c>
      <c r="AG179" s="50"/>
      <c r="AH179" s="50"/>
      <c r="AI179" s="1"/>
      <c r="AJ179" s="1"/>
    </row>
    <row r="180" spans="1:36" ht="12.95" customHeight="1" x14ac:dyDescent="0.25">
      <c r="A180" s="36"/>
      <c r="C180" s="36"/>
      <c r="D180" s="36"/>
      <c r="E180" s="36"/>
      <c r="F180" s="36"/>
      <c r="G180" s="36"/>
      <c r="H180" s="36"/>
      <c r="I180" s="36"/>
      <c r="J180" s="36"/>
      <c r="K180" s="36"/>
      <c r="L180" s="40">
        <v>1.1399999999999999</v>
      </c>
      <c r="M180" s="40">
        <v>1.37</v>
      </c>
      <c r="N180" s="36"/>
      <c r="O180" s="36"/>
      <c r="P180" s="36"/>
      <c r="Q180" s="36"/>
      <c r="R180" s="36"/>
      <c r="S180" s="49">
        <v>0.79</v>
      </c>
      <c r="T180" s="33">
        <f>ROUND((L180*I177+1.3*L180*K177+S180*H177),4)</f>
        <v>880.85400000000004</v>
      </c>
      <c r="U180" s="33">
        <f>ROUND((M180*0.9*I177+1.3*M180*0.9*K177+S180*H177),4)</f>
        <v>948.84630000000004</v>
      </c>
      <c r="V180" s="33">
        <f>ROUND((M180*I177+1.3*M180*K177+S180*H177),4)</f>
        <v>1049.0070000000001</v>
      </c>
      <c r="W180" s="33">
        <f>ROUND((L180*J177+1.3*L180*N177+S180*G177),4)</f>
        <v>35.520000000000003</v>
      </c>
      <c r="X180" s="33">
        <f>ROUND((M180*0.9*J177+1.3*M180*0.9*N177+S180*G177),4)</f>
        <v>38.030999999999999</v>
      </c>
      <c r="Y180" s="33">
        <f>ROUND((M180*J177+1.3*N177+S180*G177),4)</f>
        <v>36.92</v>
      </c>
      <c r="Z180" s="43">
        <f>ROUND((P177*T180*F177*O177/1000000),4)</f>
        <v>0.15859999999999999</v>
      </c>
      <c r="AA180" s="43">
        <f>ROUND((Q177*U180*F177*O177/1000000),4)</f>
        <v>2.8500000000000001E-2</v>
      </c>
      <c r="AB180" s="43">
        <f>ROUND((R177*V180*F177*O177/1000000),4)</f>
        <v>3.15E-2</v>
      </c>
      <c r="AC180" s="44" t="s">
        <v>168</v>
      </c>
      <c r="AD180" s="45" t="s">
        <v>169</v>
      </c>
      <c r="AE180" s="30">
        <f>ROUND((((X180*E177)/1800)),4)</f>
        <v>2.1100000000000001E-2</v>
      </c>
      <c r="AF180" s="30">
        <f>ROUND(((Z180+AA180+AB180)),4)</f>
        <v>0.21859999999999999</v>
      </c>
      <c r="AG180" s="50"/>
      <c r="AH180" s="50"/>
      <c r="AI180" s="1"/>
      <c r="AJ180" s="1"/>
    </row>
    <row r="181" spans="1:36" ht="12.95" customHeight="1" x14ac:dyDescent="0.25">
      <c r="A181" s="36"/>
      <c r="B181" s="35"/>
      <c r="C181" s="36"/>
      <c r="D181" s="36"/>
      <c r="E181" s="36"/>
      <c r="F181" s="36"/>
      <c r="G181" s="36"/>
      <c r="H181" s="36"/>
      <c r="I181" s="36"/>
      <c r="J181" s="36"/>
      <c r="K181" s="36"/>
      <c r="L181" s="40">
        <v>0.72</v>
      </c>
      <c r="M181" s="40">
        <v>1.08</v>
      </c>
      <c r="N181" s="36"/>
      <c r="O181" s="36"/>
      <c r="P181" s="36"/>
      <c r="Q181" s="36"/>
      <c r="R181" s="36"/>
      <c r="S181" s="49">
        <v>0.17</v>
      </c>
      <c r="T181" s="33">
        <f>ROUND((L181*I177+1.3*L181*K177+S181*H177),4)</f>
        <v>536.59199999999998</v>
      </c>
      <c r="U181" s="33">
        <f>ROUND((M181*0.9*I177+1.3*M181*0.9*K177+S181*H177),4)</f>
        <v>720.82920000000001</v>
      </c>
      <c r="V181" s="33">
        <f>ROUND((M181*I177+1.3*M181*K177+S181*H177),4)</f>
        <v>799.78800000000001</v>
      </c>
      <c r="W181" s="33">
        <f>ROUND((L181*J177+1.3*L181*N177+S181*G177),4)</f>
        <v>20.46</v>
      </c>
      <c r="X181" s="33">
        <f>ROUND((M181*0.9*J177+1.3*M181*0.9*N177+S181*G177),4)</f>
        <v>27.263999999999999</v>
      </c>
      <c r="Y181" s="33">
        <f>ROUND((M181*J177+1.3*M181*N177+S181*G177),4)</f>
        <v>30.18</v>
      </c>
      <c r="Z181" s="43">
        <f>ROUND((P177*T181*F177*O177/1000000),4)</f>
        <v>9.6600000000000005E-2</v>
      </c>
      <c r="AA181" s="43">
        <f>ROUND((Q177*U181*F177*O177/1000000),4)</f>
        <v>2.1600000000000001E-2</v>
      </c>
      <c r="AB181" s="43">
        <f>ROUND((R177*V181*F177*O177/1000000),4)</f>
        <v>2.4E-2</v>
      </c>
      <c r="AC181" s="44" t="s">
        <v>170</v>
      </c>
      <c r="AD181" s="45" t="s">
        <v>119</v>
      </c>
      <c r="AE181" s="30">
        <f>ROUND((((X181*E177)/1800)),4)</f>
        <v>1.5100000000000001E-2</v>
      </c>
      <c r="AF181" s="30">
        <f>ROUND(((Z181+AA181+AB181)),4)</f>
        <v>0.14219999999999999</v>
      </c>
      <c r="AG181" s="50"/>
      <c r="AH181" s="50"/>
      <c r="AI181" s="1"/>
      <c r="AJ181" s="1"/>
    </row>
    <row r="182" spans="1:36" ht="12.95" customHeight="1" x14ac:dyDescent="0.25">
      <c r="A182" s="36"/>
      <c r="B182" s="41"/>
      <c r="C182" s="37"/>
      <c r="D182" s="37"/>
      <c r="E182" s="37"/>
      <c r="F182" s="37"/>
      <c r="G182" s="37"/>
      <c r="H182" s="37"/>
      <c r="I182" s="37"/>
      <c r="J182" s="37"/>
      <c r="K182" s="37"/>
      <c r="L182" s="40">
        <v>3.37</v>
      </c>
      <c r="M182" s="40">
        <v>4.1100000000000003</v>
      </c>
      <c r="N182" s="37"/>
      <c r="O182" s="37"/>
      <c r="P182" s="37"/>
      <c r="Q182" s="37"/>
      <c r="R182" s="37"/>
      <c r="S182" s="49">
        <v>6.31</v>
      </c>
      <c r="T182" s="33">
        <f>ROUND((L182*I177+1.3*L182*K177+S182*H177),4)</f>
        <v>2842.4070000000002</v>
      </c>
      <c r="U182" s="33">
        <f>ROUND((M182*0.9*I177+1.3*M182*0.9*K177+S182*H177),4)</f>
        <v>3082.9389000000001</v>
      </c>
      <c r="V182" s="33">
        <f>ROUND((M182*I177+1.3*M182*K177+S182*H177),4)</f>
        <v>3383.4209999999998</v>
      </c>
      <c r="W182" s="33">
        <f>ROUND((L182*J177+1.3*L182*N177+S182*G177),4)</f>
        <v>128.85</v>
      </c>
      <c r="X182" s="33">
        <f>ROUND((M182*0.9*J177+1.3*M182*0.9*N177+S182*G177),4)</f>
        <v>137.733</v>
      </c>
      <c r="Y182" s="33">
        <f>ROUND((M182*J177+1.3*M182*N177+S182*G177),4)</f>
        <v>148.83000000000001</v>
      </c>
      <c r="Z182" s="43">
        <f>ROUND((P177*T182*F177*O177/1000000),4)</f>
        <v>0.51160000000000005</v>
      </c>
      <c r="AA182" s="43">
        <f>ROUND((Q177*U182*F177*O177/1000000),4)</f>
        <v>9.2499999999999999E-2</v>
      </c>
      <c r="AB182" s="43">
        <f>ROUND((R177*V182*F177*O177/1000000),4)</f>
        <v>0.10150000000000001</v>
      </c>
      <c r="AC182" s="44" t="s">
        <v>171</v>
      </c>
      <c r="AD182" s="45" t="s">
        <v>104</v>
      </c>
      <c r="AE182" s="30">
        <f>ROUND((((X182*E177)/1800)),4)</f>
        <v>7.6499999999999999E-2</v>
      </c>
      <c r="AF182" s="30">
        <f>ROUND(((Z182+AA182+AB182)),4)</f>
        <v>0.7056</v>
      </c>
      <c r="AG182" s="50"/>
      <c r="AH182" s="50"/>
      <c r="AI182" s="1"/>
      <c r="AJ182" s="1"/>
    </row>
    <row r="183" spans="1:36" ht="12.95" customHeight="1" x14ac:dyDescent="0.25">
      <c r="A183" s="36"/>
      <c r="B183" s="50" t="s">
        <v>177</v>
      </c>
      <c r="C183" s="31">
        <v>7</v>
      </c>
      <c r="D183" s="32" t="s">
        <v>179</v>
      </c>
      <c r="E183" s="32">
        <v>1</v>
      </c>
      <c r="F183" s="32">
        <v>2</v>
      </c>
      <c r="G183" s="32">
        <v>6</v>
      </c>
      <c r="H183" s="32">
        <v>60</v>
      </c>
      <c r="I183" s="32">
        <f>(8-1-0.75*2)*60*F183-K183-8*0.12*60</f>
        <v>173.4</v>
      </c>
      <c r="J183" s="32">
        <v>14</v>
      </c>
      <c r="K183" s="32">
        <f>(8-1-0.75*2)*0.65*60*F183</f>
        <v>429</v>
      </c>
      <c r="L183" s="33">
        <v>10.16</v>
      </c>
      <c r="M183" s="33">
        <v>10.16</v>
      </c>
      <c r="N183" s="32">
        <v>10</v>
      </c>
      <c r="O183" s="32">
        <f>E183/F183</f>
        <v>0.5</v>
      </c>
      <c r="P183" s="32">
        <v>180</v>
      </c>
      <c r="Q183" s="32">
        <v>30</v>
      </c>
      <c r="R183" s="42">
        <v>30</v>
      </c>
      <c r="S183" s="42">
        <v>1.99</v>
      </c>
      <c r="T183" s="33">
        <f>ROUND((L183*I183+1.3*L183*K183+S183*H183),4)</f>
        <v>7547.3760000000002</v>
      </c>
      <c r="U183" s="33">
        <f>ROUND((M183*I183+1.3*M183*K183+S183*H183),4)</f>
        <v>7547.3760000000002</v>
      </c>
      <c r="V183" s="33">
        <f>ROUND((M183*I183+1.3*M183*K183+S183*H183),4)</f>
        <v>7547.3760000000002</v>
      </c>
      <c r="W183" s="33">
        <f>ROUND((L183*J183+1.3*L183*N183+S183*G183),4)</f>
        <v>286.26</v>
      </c>
      <c r="X183" s="33">
        <f>ROUND((M183*J183+1.3*M183*N183+S183*G183),4)</f>
        <v>286.26</v>
      </c>
      <c r="Y183" s="33">
        <f>ROUND((M183*J183+1.3*M183*N183+S183*G183),4)</f>
        <v>286.26</v>
      </c>
      <c r="Z183" s="43">
        <f>ROUND((P183*T183*F183*O183/1000000),4)</f>
        <v>1.3585</v>
      </c>
      <c r="AA183" s="43">
        <f>ROUND((Q183*U183*F183*O183/1000000),4)</f>
        <v>0.22639999999999999</v>
      </c>
      <c r="AB183" s="43">
        <f>ROUND((R183*V183*F183*O183/1000000),4)</f>
        <v>0.22639999999999999</v>
      </c>
      <c r="AC183" s="44" t="s">
        <v>111</v>
      </c>
      <c r="AD183" s="45" t="s">
        <v>95</v>
      </c>
      <c r="AE183" s="30">
        <f>ROUND((((X183*E183)/1800)*0.8),4)</f>
        <v>0.12720000000000001</v>
      </c>
      <c r="AF183" s="30">
        <f>ROUND(((Z183+AA183+AB183)*0.8),4)</f>
        <v>1.4490000000000001</v>
      </c>
      <c r="AG183" s="50"/>
      <c r="AH183" s="50"/>
      <c r="AI183" s="1"/>
      <c r="AJ183" s="1"/>
    </row>
    <row r="184" spans="1:36" ht="12.95" customHeight="1" x14ac:dyDescent="0.25">
      <c r="A184" s="36"/>
      <c r="B184" s="35" t="s">
        <v>180</v>
      </c>
      <c r="C184" s="36"/>
      <c r="D184" s="36"/>
      <c r="E184" s="36"/>
      <c r="F184" s="36"/>
      <c r="G184" s="36"/>
      <c r="H184" s="36"/>
      <c r="I184" s="36"/>
      <c r="J184" s="36"/>
      <c r="K184" s="36"/>
      <c r="L184" s="37"/>
      <c r="M184" s="37"/>
      <c r="N184" s="36"/>
      <c r="O184" s="36"/>
      <c r="P184" s="36"/>
      <c r="Q184" s="36"/>
      <c r="R184" s="36"/>
      <c r="S184" s="46"/>
      <c r="T184" s="47"/>
      <c r="U184" s="47"/>
      <c r="V184" s="47"/>
      <c r="W184" s="47"/>
      <c r="X184" s="47"/>
      <c r="Y184" s="47"/>
      <c r="Z184" s="47"/>
      <c r="AA184" s="47"/>
      <c r="AB184" s="47"/>
      <c r="AC184" s="44" t="s">
        <v>112</v>
      </c>
      <c r="AD184" s="45" t="s">
        <v>113</v>
      </c>
      <c r="AE184" s="30">
        <f>ROUND((((X183*E183)/1800)*0.13),4)</f>
        <v>2.07E-2</v>
      </c>
      <c r="AF184" s="30">
        <f>ROUND(((Z183+AA183+AB183)*0.13),4)</f>
        <v>0.23549999999999999</v>
      </c>
      <c r="AG184" s="50"/>
      <c r="AH184" s="50"/>
      <c r="AI184" s="1"/>
      <c r="AJ184" s="1"/>
    </row>
    <row r="185" spans="1:36" ht="12.95" customHeight="1" x14ac:dyDescent="0.25">
      <c r="A185" s="36"/>
      <c r="C185" s="39"/>
      <c r="D185" s="39"/>
      <c r="E185" s="36"/>
      <c r="F185" s="36"/>
      <c r="G185" s="36"/>
      <c r="H185" s="36"/>
      <c r="I185" s="36"/>
      <c r="J185" s="36"/>
      <c r="K185" s="36"/>
      <c r="L185" s="40">
        <v>0.8</v>
      </c>
      <c r="M185" s="40">
        <v>0.98</v>
      </c>
      <c r="N185" s="36"/>
      <c r="O185" s="36"/>
      <c r="P185" s="36"/>
      <c r="Q185" s="36"/>
      <c r="R185" s="36"/>
      <c r="S185" s="48">
        <v>0.39</v>
      </c>
      <c r="T185" s="33">
        <f>ROUND((L185*I183+1.3*L185*K183+S185*H183),4)</f>
        <v>608.28</v>
      </c>
      <c r="U185" s="33">
        <f>ROUND((M185*0.9*I183+1.3*M185*0.9*K183+S185*H183),4)</f>
        <v>668.23019999999997</v>
      </c>
      <c r="V185" s="33">
        <f>ROUND((M185*I183+1.3*M185*K183+S185*H183),4)</f>
        <v>739.87800000000004</v>
      </c>
      <c r="W185" s="33">
        <f>ROUND((L185*J183+1.3*L185*N183+S185*G183),4)</f>
        <v>23.94</v>
      </c>
      <c r="X185" s="33">
        <f>ROUND((M185*0.9*J183+1.3*M185*0.9*N183+S185*G183),4)</f>
        <v>26.154</v>
      </c>
      <c r="Y185" s="33">
        <f>ROUND((M185*J183+1.3*M185*N183+S185*G183),4)</f>
        <v>28.8</v>
      </c>
      <c r="Z185" s="43">
        <f>ROUND((P183*T185*F183*O183/1000000),4)</f>
        <v>0.1095</v>
      </c>
      <c r="AA185" s="43">
        <f>ROUND((Q183*U185*F183*O183/1000000),4)</f>
        <v>0.02</v>
      </c>
      <c r="AB185" s="43">
        <f>ROUND((R183*V185*F183*O183/1000000),4)</f>
        <v>2.2200000000000001E-2</v>
      </c>
      <c r="AC185" s="44" t="s">
        <v>167</v>
      </c>
      <c r="AD185" s="45" t="s">
        <v>115</v>
      </c>
      <c r="AE185" s="30">
        <f>ROUND((((X185*E183)/1800)),4)</f>
        <v>1.4500000000000001E-2</v>
      </c>
      <c r="AF185" s="30">
        <f>ROUND(((Z185+AA185+AB185)),5)</f>
        <v>0.1517</v>
      </c>
      <c r="AG185" s="50"/>
      <c r="AH185" s="50"/>
      <c r="AI185" s="1"/>
      <c r="AJ185" s="1"/>
    </row>
    <row r="186" spans="1:36" ht="12.95" customHeight="1" x14ac:dyDescent="0.25">
      <c r="A186" s="36"/>
      <c r="C186" s="36"/>
      <c r="D186" s="36"/>
      <c r="E186" s="36"/>
      <c r="F186" s="36"/>
      <c r="G186" s="36"/>
      <c r="H186" s="36"/>
      <c r="I186" s="36"/>
      <c r="J186" s="36"/>
      <c r="K186" s="36"/>
      <c r="L186" s="40">
        <v>1.79</v>
      </c>
      <c r="M186" s="40">
        <v>2.15</v>
      </c>
      <c r="N186" s="36"/>
      <c r="O186" s="36"/>
      <c r="P186" s="36"/>
      <c r="Q186" s="36"/>
      <c r="R186" s="36"/>
      <c r="S186" s="49">
        <v>1.24</v>
      </c>
      <c r="T186" s="33">
        <f>ROUND((L186*I183+1.3*L186*K183+S186*H183),4)</f>
        <v>1383.069</v>
      </c>
      <c r="U186" s="33">
        <f>ROUND((M186*0.9*I183+1.3*M186*0.9*K183+S186*H183),4)</f>
        <v>1489.0785000000001</v>
      </c>
      <c r="V186" s="33">
        <f>ROUND((M186*I183+1.3*M186*K183+S186*H183),4)</f>
        <v>1646.2650000000001</v>
      </c>
      <c r="W186" s="33">
        <f>ROUND((L186*J183+1.3*L186*N183+S186*G183),4)</f>
        <v>55.77</v>
      </c>
      <c r="X186" s="33">
        <f>ROUND((M186*0.9*J183+1.3*M186*0.9*N183+S186*G183),4)</f>
        <v>59.685000000000002</v>
      </c>
      <c r="Y186" s="33">
        <f>ROUND((M186*J183+1.3*N183+S186*G183),4)</f>
        <v>50.54</v>
      </c>
      <c r="Z186" s="43">
        <f>ROUND((P183*T186*F183*O183/1000000),4)</f>
        <v>0.249</v>
      </c>
      <c r="AA186" s="43">
        <f>ROUND((Q183*U186*F183*O183/1000000),4)</f>
        <v>4.4699999999999997E-2</v>
      </c>
      <c r="AB186" s="43">
        <f>ROUND((R183*V186*F183*O183/1000000),4)</f>
        <v>4.9399999999999999E-2</v>
      </c>
      <c r="AC186" s="44" t="s">
        <v>168</v>
      </c>
      <c r="AD186" s="45" t="s">
        <v>169</v>
      </c>
      <c r="AE186" s="30">
        <f>ROUND((((X186*E183)/1800)),4)</f>
        <v>3.32E-2</v>
      </c>
      <c r="AF186" s="30">
        <f>ROUND(((Z186+AA186+AB186)),4)</f>
        <v>0.34310000000000002</v>
      </c>
      <c r="AG186" s="50"/>
      <c r="AH186" s="50"/>
      <c r="AI186" s="1"/>
      <c r="AJ186" s="1"/>
    </row>
    <row r="187" spans="1:36" ht="12.95" customHeight="1" x14ac:dyDescent="0.25">
      <c r="A187" s="36"/>
      <c r="B187" s="35"/>
      <c r="C187" s="36"/>
      <c r="D187" s="36"/>
      <c r="E187" s="36"/>
      <c r="F187" s="36"/>
      <c r="G187" s="36"/>
      <c r="H187" s="36"/>
      <c r="I187" s="36"/>
      <c r="J187" s="36"/>
      <c r="K187" s="36"/>
      <c r="L187" s="40">
        <v>1.1299999999999999</v>
      </c>
      <c r="M187" s="40">
        <v>1.7</v>
      </c>
      <c r="N187" s="36"/>
      <c r="O187" s="36"/>
      <c r="P187" s="36"/>
      <c r="Q187" s="36"/>
      <c r="R187" s="36"/>
      <c r="S187" s="49">
        <v>0.26</v>
      </c>
      <c r="T187" s="33">
        <f>ROUND((L187*I183+1.3*L187*K183+S187*H183),4)</f>
        <v>841.74300000000005</v>
      </c>
      <c r="U187" s="33">
        <f>ROUND((M187*0.9*I183+1.3*M187*0.9*K183+S187*H183),4)</f>
        <v>1134.183</v>
      </c>
      <c r="V187" s="33">
        <f>ROUND((M187*I183+1.3*M187*K183+S187*H183),4)</f>
        <v>1258.47</v>
      </c>
      <c r="W187" s="33">
        <f>ROUND((L187*J183+1.3*L187*N183+S187*G183),4)</f>
        <v>32.07</v>
      </c>
      <c r="X187" s="33">
        <f>ROUND((M187*0.9*J183+1.3*M187*0.9*N183+S187*G183),4)</f>
        <v>42.87</v>
      </c>
      <c r="Y187" s="33">
        <f>ROUND((M187*J183+1.3*M187*N183+S187*G183),4)</f>
        <v>47.46</v>
      </c>
      <c r="Z187" s="43">
        <f>ROUND((P183*T187*F183*O183/1000000),4)</f>
        <v>0.1515</v>
      </c>
      <c r="AA187" s="43">
        <f>ROUND((Q183*U187*F183*O183/1000000),4)</f>
        <v>3.4000000000000002E-2</v>
      </c>
      <c r="AB187" s="43">
        <f>ROUND((R183*V187*F183*O183/1000000),4)</f>
        <v>3.78E-2</v>
      </c>
      <c r="AC187" s="44" t="s">
        <v>170</v>
      </c>
      <c r="AD187" s="45" t="s">
        <v>119</v>
      </c>
      <c r="AE187" s="30">
        <f>ROUND((((X187*E183)/1800)),4)</f>
        <v>2.3800000000000002E-2</v>
      </c>
      <c r="AF187" s="30">
        <f>ROUND(((Z187+AA187+AB187)),4)</f>
        <v>0.2233</v>
      </c>
      <c r="AG187" s="50"/>
      <c r="AH187" s="50"/>
      <c r="AI187" s="1"/>
      <c r="AJ187" s="1"/>
    </row>
    <row r="188" spans="1:36" ht="12.95" customHeight="1" x14ac:dyDescent="0.25">
      <c r="A188" s="36"/>
      <c r="B188" s="41"/>
      <c r="C188" s="37"/>
      <c r="D188" s="37"/>
      <c r="E188" s="37"/>
      <c r="F188" s="37"/>
      <c r="G188" s="37"/>
      <c r="H188" s="37"/>
      <c r="I188" s="37"/>
      <c r="J188" s="37"/>
      <c r="K188" s="37"/>
      <c r="L188" s="40">
        <v>5.3</v>
      </c>
      <c r="M188" s="40">
        <v>6.47</v>
      </c>
      <c r="N188" s="37"/>
      <c r="O188" s="37"/>
      <c r="P188" s="37"/>
      <c r="Q188" s="37"/>
      <c r="R188" s="37"/>
      <c r="S188" s="49">
        <v>9.92</v>
      </c>
      <c r="T188" s="33">
        <f>ROUND((L188*I183+1.3*L188*K183+S188*H183),4)</f>
        <v>4470.03</v>
      </c>
      <c r="U188" s="33">
        <f>ROUND((M188*0.9*I183+1.3*M188*0.9*K183+S188*H183),4)</f>
        <v>4852.3953000000001</v>
      </c>
      <c r="V188" s="33">
        <f>ROUND((M188*I183+1.3*M188*K183+S188*H183),4)</f>
        <v>5325.4170000000004</v>
      </c>
      <c r="W188" s="33">
        <f>ROUND((L188*J183+1.3*L188*N183+S188*G183),4)</f>
        <v>202.62</v>
      </c>
      <c r="X188" s="33">
        <f>ROUND((M188*0.9*J183+1.3*M188*0.9*N183+S188*G183),4)</f>
        <v>216.74100000000001</v>
      </c>
      <c r="Y188" s="33">
        <f>ROUND((M188*J183+1.3*M188*N183+S188*G183),4)</f>
        <v>234.21</v>
      </c>
      <c r="Z188" s="43">
        <f>ROUND((P183*T188*F183*O183/1000000),4)</f>
        <v>0.80459999999999998</v>
      </c>
      <c r="AA188" s="43">
        <f>ROUND((Q183*U188*F183*O183/1000000),4)</f>
        <v>0.14560000000000001</v>
      </c>
      <c r="AB188" s="43">
        <f>ROUND((R183*V188*F183*O183/1000000),4)</f>
        <v>0.1598</v>
      </c>
      <c r="AC188" s="44" t="s">
        <v>171</v>
      </c>
      <c r="AD188" s="45" t="s">
        <v>104</v>
      </c>
      <c r="AE188" s="30">
        <f>ROUND((((X188*E183)/1800)),4)</f>
        <v>0.12039999999999999</v>
      </c>
      <c r="AF188" s="30">
        <f>ROUND(((Z188+AA188+AB188)),4)</f>
        <v>1.1100000000000001</v>
      </c>
      <c r="AG188" s="50"/>
      <c r="AH188" s="50"/>
      <c r="AI188" s="1"/>
      <c r="AJ188" s="1"/>
    </row>
    <row r="189" spans="1:36" ht="12.95" customHeight="1" x14ac:dyDescent="0.25">
      <c r="A189" s="36"/>
      <c r="B189" s="50" t="s">
        <v>181</v>
      </c>
      <c r="C189" s="31">
        <v>7</v>
      </c>
      <c r="D189" s="32" t="s">
        <v>179</v>
      </c>
      <c r="E189" s="32">
        <v>1</v>
      </c>
      <c r="F189" s="32">
        <v>2</v>
      </c>
      <c r="G189" s="32">
        <v>6</v>
      </c>
      <c r="H189" s="32">
        <v>60</v>
      </c>
      <c r="I189" s="32">
        <f>(8-1-0.75*2)*60*F189-K189-8*0.12*60</f>
        <v>173.4</v>
      </c>
      <c r="J189" s="32">
        <v>14</v>
      </c>
      <c r="K189" s="32">
        <f>(8-1-0.75*2)*0.65*60*F189</f>
        <v>429</v>
      </c>
      <c r="L189" s="33">
        <v>10.16</v>
      </c>
      <c r="M189" s="33">
        <v>10.16</v>
      </c>
      <c r="N189" s="32">
        <v>10</v>
      </c>
      <c r="O189" s="32">
        <f>E189/F189</f>
        <v>0.5</v>
      </c>
      <c r="P189" s="32">
        <v>80</v>
      </c>
      <c r="Q189" s="32">
        <v>20</v>
      </c>
      <c r="R189" s="42">
        <v>20</v>
      </c>
      <c r="S189" s="42">
        <v>1.99</v>
      </c>
      <c r="T189" s="33">
        <f>ROUND((L189*I189+1.3*L189*K189+S189*H189),4)</f>
        <v>7547.3760000000002</v>
      </c>
      <c r="U189" s="33">
        <f>ROUND((M189*I189+1.3*M189*K189+S189*H189),4)</f>
        <v>7547.3760000000002</v>
      </c>
      <c r="V189" s="33">
        <f>ROUND((M189*I189+1.3*M189*K189+S189*H189),4)</f>
        <v>7547.3760000000002</v>
      </c>
      <c r="W189" s="33">
        <f>ROUND((L189*J189+1.3*L189*N189+S189*G189),4)</f>
        <v>286.26</v>
      </c>
      <c r="X189" s="33">
        <f>ROUND((M189*J189+1.3*M189*N189+S189*G189),4)</f>
        <v>286.26</v>
      </c>
      <c r="Y189" s="33">
        <f>ROUND((M189*J189+1.3*M189*N189+S189*G189),4)</f>
        <v>286.26</v>
      </c>
      <c r="Z189" s="43">
        <f>ROUND((P189*T189*F189*O189/1000000),4)</f>
        <v>0.6038</v>
      </c>
      <c r="AA189" s="43">
        <f>ROUND((Q189*U189*F189*O189/1000000),4)</f>
        <v>0.15090000000000001</v>
      </c>
      <c r="AB189" s="43">
        <f>ROUND((R189*V189*F189*O189/1000000),4)</f>
        <v>0.15090000000000001</v>
      </c>
      <c r="AC189" s="44" t="s">
        <v>111</v>
      </c>
      <c r="AD189" s="45" t="s">
        <v>95</v>
      </c>
      <c r="AE189" s="30">
        <f>ROUND((((X189*E189)/1800)*0.8),4)</f>
        <v>0.12720000000000001</v>
      </c>
      <c r="AF189" s="30">
        <f>ROUND(((Z189+AA189+AB189)*0.8),4)</f>
        <v>0.72450000000000003</v>
      </c>
      <c r="AG189" s="50"/>
      <c r="AH189" s="50"/>
    </row>
    <row r="190" spans="1:36" ht="12.95" customHeight="1" x14ac:dyDescent="0.25">
      <c r="A190" s="36"/>
      <c r="B190" s="35" t="s">
        <v>182</v>
      </c>
      <c r="C190" s="36"/>
      <c r="D190" s="36"/>
      <c r="E190" s="36"/>
      <c r="F190" s="36"/>
      <c r="G190" s="36"/>
      <c r="H190" s="36"/>
      <c r="I190" s="36"/>
      <c r="J190" s="36"/>
      <c r="K190" s="36"/>
      <c r="L190" s="37"/>
      <c r="M190" s="37"/>
      <c r="N190" s="36"/>
      <c r="O190" s="36"/>
      <c r="P190" s="36"/>
      <c r="Q190" s="36"/>
      <c r="R190" s="36"/>
      <c r="S190" s="46"/>
      <c r="T190" s="47"/>
      <c r="U190" s="47"/>
      <c r="V190" s="47"/>
      <c r="W190" s="47"/>
      <c r="X190" s="47"/>
      <c r="Y190" s="47"/>
      <c r="Z190" s="47"/>
      <c r="AA190" s="47"/>
      <c r="AB190" s="47"/>
      <c r="AC190" s="44" t="s">
        <v>112</v>
      </c>
      <c r="AD190" s="45" t="s">
        <v>113</v>
      </c>
      <c r="AE190" s="30">
        <f>ROUND((((X189*E189)/1800)*0.13),4)</f>
        <v>2.07E-2</v>
      </c>
      <c r="AF190" s="30">
        <f>ROUND(((Z189+AA189+AB189)*0.13),4)</f>
        <v>0.1177</v>
      </c>
      <c r="AG190" s="50"/>
      <c r="AH190" s="50"/>
    </row>
    <row r="191" spans="1:36" ht="12.95" customHeight="1" x14ac:dyDescent="0.25">
      <c r="A191" s="36"/>
      <c r="C191" s="39"/>
      <c r="D191" s="39"/>
      <c r="E191" s="36"/>
      <c r="F191" s="36"/>
      <c r="G191" s="36"/>
      <c r="H191" s="36"/>
      <c r="I191" s="36"/>
      <c r="J191" s="36"/>
      <c r="K191" s="36"/>
      <c r="L191" s="40">
        <v>0.8</v>
      </c>
      <c r="M191" s="40">
        <v>0.98</v>
      </c>
      <c r="N191" s="36"/>
      <c r="O191" s="36"/>
      <c r="P191" s="36"/>
      <c r="Q191" s="36"/>
      <c r="R191" s="36"/>
      <c r="S191" s="48">
        <v>0.39</v>
      </c>
      <c r="T191" s="33">
        <f>ROUND((L191*I189+1.3*L191*K189+S191*H189),4)</f>
        <v>608.28</v>
      </c>
      <c r="U191" s="33">
        <f>ROUND((M191*0.9*I189+1.3*M191*0.9*K189+S191*H189),4)</f>
        <v>668.23019999999997</v>
      </c>
      <c r="V191" s="33">
        <f>ROUND((M191*I189+1.3*M191*K189+S191*H189),4)</f>
        <v>739.87800000000004</v>
      </c>
      <c r="W191" s="33">
        <f>ROUND((L191*J189+1.3*L191*N189+S191*G189),4)</f>
        <v>23.94</v>
      </c>
      <c r="X191" s="33">
        <f>ROUND((M191*0.9*J189+1.3*M191*0.9*N189+S191*G189),4)</f>
        <v>26.154</v>
      </c>
      <c r="Y191" s="33">
        <f>ROUND((M191*J189+1.3*M191*N189+S191*G189),4)</f>
        <v>28.8</v>
      </c>
      <c r="Z191" s="43">
        <f>ROUND((P189*T191*F189*O189/1000000),4)</f>
        <v>4.87E-2</v>
      </c>
      <c r="AA191" s="43">
        <f>ROUND((Q189*U191*F189*O189/1000000),4)</f>
        <v>1.34E-2</v>
      </c>
      <c r="AB191" s="43">
        <f>ROUND((R189*V191*F189*O189/1000000),4)</f>
        <v>1.4800000000000001E-2</v>
      </c>
      <c r="AC191" s="44" t="s">
        <v>167</v>
      </c>
      <c r="AD191" s="45" t="s">
        <v>115</v>
      </c>
      <c r="AE191" s="30">
        <f>ROUND((((X191*E189)/1800)),4)</f>
        <v>1.4500000000000001E-2</v>
      </c>
      <c r="AF191" s="30">
        <f>ROUND(((Z191+AA191+AB191)),5)</f>
        <v>7.6899999999999996E-2</v>
      </c>
      <c r="AG191" s="50"/>
      <c r="AH191" s="50"/>
    </row>
    <row r="192" spans="1:36" ht="12.95" customHeight="1" x14ac:dyDescent="0.25">
      <c r="A192" s="36"/>
      <c r="C192" s="36"/>
      <c r="D192" s="36"/>
      <c r="E192" s="36"/>
      <c r="F192" s="36"/>
      <c r="G192" s="36"/>
      <c r="H192" s="36"/>
      <c r="I192" s="36"/>
      <c r="J192" s="36"/>
      <c r="K192" s="36"/>
      <c r="L192" s="40">
        <v>1.79</v>
      </c>
      <c r="M192" s="40">
        <v>2.15</v>
      </c>
      <c r="N192" s="36"/>
      <c r="O192" s="36"/>
      <c r="P192" s="36"/>
      <c r="Q192" s="36"/>
      <c r="R192" s="36"/>
      <c r="S192" s="49">
        <v>1.24</v>
      </c>
      <c r="T192" s="33">
        <f>ROUND((L192*I189+1.3*L192*K189+S192*H189),4)</f>
        <v>1383.069</v>
      </c>
      <c r="U192" s="33">
        <f>ROUND((M192*0.9*I189+1.3*M192*0.9*K189+S192*H189),4)</f>
        <v>1489.0785000000001</v>
      </c>
      <c r="V192" s="33">
        <f>ROUND((M192*I189+1.3*M192*K189+S192*H189),4)</f>
        <v>1646.2650000000001</v>
      </c>
      <c r="W192" s="33">
        <f>ROUND((L192*J189+1.3*L192*N189+S192*G189),4)</f>
        <v>55.77</v>
      </c>
      <c r="X192" s="33">
        <f>ROUND((M192*0.9*J189+1.3*M192*0.9*N189+S192*G189),4)</f>
        <v>59.685000000000002</v>
      </c>
      <c r="Y192" s="33">
        <f>ROUND((M192*J189+1.3*N189+S192*G189),4)</f>
        <v>50.54</v>
      </c>
      <c r="Z192" s="43">
        <f>ROUND((P189*T192*F189*O189/1000000),4)</f>
        <v>0.1106</v>
      </c>
      <c r="AA192" s="43">
        <f>ROUND((Q189*U192*F189*O189/1000000),4)</f>
        <v>2.98E-2</v>
      </c>
      <c r="AB192" s="43">
        <f>ROUND((R189*V192*F189*O189/1000000),4)</f>
        <v>3.2899999999999999E-2</v>
      </c>
      <c r="AC192" s="44" t="s">
        <v>168</v>
      </c>
      <c r="AD192" s="45" t="s">
        <v>169</v>
      </c>
      <c r="AE192" s="30">
        <f>ROUND((((X192*E189)/1800)),4)</f>
        <v>3.32E-2</v>
      </c>
      <c r="AF192" s="30">
        <f>ROUND(((Z192+AA192+AB192)),4)</f>
        <v>0.17330000000000001</v>
      </c>
      <c r="AG192" s="50"/>
      <c r="AH192" s="50"/>
    </row>
    <row r="193" spans="1:36" ht="12.95" customHeight="1" x14ac:dyDescent="0.25">
      <c r="A193" s="36"/>
      <c r="B193" s="35"/>
      <c r="C193" s="36"/>
      <c r="D193" s="36"/>
      <c r="E193" s="36"/>
      <c r="F193" s="36"/>
      <c r="G193" s="36"/>
      <c r="H193" s="36"/>
      <c r="I193" s="36"/>
      <c r="J193" s="36"/>
      <c r="K193" s="36"/>
      <c r="L193" s="40">
        <v>1.1299999999999999</v>
      </c>
      <c r="M193" s="40">
        <v>1.7</v>
      </c>
      <c r="N193" s="36"/>
      <c r="O193" s="36"/>
      <c r="P193" s="36"/>
      <c r="Q193" s="36"/>
      <c r="R193" s="36"/>
      <c r="S193" s="49">
        <v>0.26</v>
      </c>
      <c r="T193" s="33">
        <f>ROUND((L193*I189+1.3*L193*K189+S193*H189),4)</f>
        <v>841.74300000000005</v>
      </c>
      <c r="U193" s="33">
        <f>ROUND((M193*0.9*I189+1.3*M193*0.9*K189+S193*H189),4)</f>
        <v>1134.183</v>
      </c>
      <c r="V193" s="33">
        <f>ROUND((M193*I189+1.3*M193*K189+S193*H189),4)</f>
        <v>1258.47</v>
      </c>
      <c r="W193" s="33">
        <f>ROUND((L193*J189+1.3*L193*N189+S193*G189),4)</f>
        <v>32.07</v>
      </c>
      <c r="X193" s="33">
        <f>ROUND((M193*0.9*J189+1.3*M193*0.9*N189+S193*G189),4)</f>
        <v>42.87</v>
      </c>
      <c r="Y193" s="33">
        <f>ROUND((M193*J189+1.3*M193*N189+S193*G189),4)</f>
        <v>47.46</v>
      </c>
      <c r="Z193" s="43">
        <f>ROUND((P189*T193*F189*O189/1000000),4)</f>
        <v>6.7299999999999999E-2</v>
      </c>
      <c r="AA193" s="43">
        <f>ROUND((Q189*U193*F189*O189/1000000),4)</f>
        <v>2.2700000000000001E-2</v>
      </c>
      <c r="AB193" s="43">
        <f>ROUND((R189*V193*F189*O189/1000000),4)</f>
        <v>2.52E-2</v>
      </c>
      <c r="AC193" s="44" t="s">
        <v>170</v>
      </c>
      <c r="AD193" s="45" t="s">
        <v>119</v>
      </c>
      <c r="AE193" s="30">
        <f>ROUND((((X193*E189)/1800)),4)</f>
        <v>2.3800000000000002E-2</v>
      </c>
      <c r="AF193" s="30">
        <f>ROUND(((Z193+AA193+AB193)),4)</f>
        <v>0.1152</v>
      </c>
      <c r="AG193" s="50"/>
      <c r="AH193" s="50"/>
    </row>
    <row r="194" spans="1:36" ht="12.95" customHeight="1" x14ac:dyDescent="0.25">
      <c r="A194" s="36"/>
      <c r="B194" s="41"/>
      <c r="C194" s="37"/>
      <c r="D194" s="37"/>
      <c r="E194" s="37"/>
      <c r="F194" s="37"/>
      <c r="G194" s="37"/>
      <c r="H194" s="37"/>
      <c r="I194" s="37"/>
      <c r="J194" s="37"/>
      <c r="K194" s="37"/>
      <c r="L194" s="40">
        <v>5.3</v>
      </c>
      <c r="M194" s="40">
        <v>6.47</v>
      </c>
      <c r="N194" s="37"/>
      <c r="O194" s="37"/>
      <c r="P194" s="37"/>
      <c r="Q194" s="37"/>
      <c r="R194" s="37"/>
      <c r="S194" s="49">
        <v>9.92</v>
      </c>
      <c r="T194" s="33">
        <f>ROUND((L194*I189+1.3*L194*K189+S194*H189),4)</f>
        <v>4470.03</v>
      </c>
      <c r="U194" s="33">
        <f>ROUND((M194*0.9*I189+1.3*M194*0.9*K189+S194*H189),4)</f>
        <v>4852.3953000000001</v>
      </c>
      <c r="V194" s="33">
        <f>ROUND((M194*I189+1.3*M194*K189+S194*H189),4)</f>
        <v>5325.4170000000004</v>
      </c>
      <c r="W194" s="33">
        <f>ROUND((L194*J189+1.3*L194*N189+S194*G189),4)</f>
        <v>202.62</v>
      </c>
      <c r="X194" s="33">
        <f>ROUND((M194*0.9*J189+1.3*M194*0.9*N189+S194*G189),4)</f>
        <v>216.74100000000001</v>
      </c>
      <c r="Y194" s="33">
        <f>ROUND((M194*J189+1.3*M194*N189+S194*G189),4)</f>
        <v>234.21</v>
      </c>
      <c r="Z194" s="43">
        <f>ROUND((P189*T194*F189*O189/1000000),4)</f>
        <v>0.35759999999999997</v>
      </c>
      <c r="AA194" s="43">
        <f>ROUND((Q189*U194*F189*O189/1000000),4)</f>
        <v>9.7000000000000003E-2</v>
      </c>
      <c r="AB194" s="43">
        <f>ROUND((R189*V194*F189*O189/1000000),4)</f>
        <v>0.1065</v>
      </c>
      <c r="AC194" s="44" t="s">
        <v>171</v>
      </c>
      <c r="AD194" s="45" t="s">
        <v>104</v>
      </c>
      <c r="AE194" s="30">
        <f>ROUND((((X194*E189)/1800)),4)</f>
        <v>0.12039999999999999</v>
      </c>
      <c r="AF194" s="30">
        <f>ROUND(((Z194+AA194+AB194)),4)</f>
        <v>0.56110000000000004</v>
      </c>
      <c r="AG194" s="50"/>
      <c r="AH194" s="50"/>
    </row>
    <row r="195" spans="1:36" ht="12.95" customHeight="1" x14ac:dyDescent="0.25">
      <c r="A195" s="36"/>
      <c r="B195" s="50" t="s">
        <v>181</v>
      </c>
      <c r="C195" s="31">
        <v>7</v>
      </c>
      <c r="D195" s="32" t="s">
        <v>179</v>
      </c>
      <c r="E195" s="32">
        <v>1</v>
      </c>
      <c r="F195" s="32">
        <v>2</v>
      </c>
      <c r="G195" s="32">
        <v>6</v>
      </c>
      <c r="H195" s="32">
        <v>60</v>
      </c>
      <c r="I195" s="32">
        <f>(8-1-0.75*2)*60*F195-K195-8*0.12*60</f>
        <v>173.4</v>
      </c>
      <c r="J195" s="32">
        <v>14</v>
      </c>
      <c r="K195" s="32">
        <f>(8-1-0.75*2)*0.65*60*F195</f>
        <v>429</v>
      </c>
      <c r="L195" s="33">
        <v>10.16</v>
      </c>
      <c r="M195" s="33">
        <v>10.16</v>
      </c>
      <c r="N195" s="32">
        <v>10</v>
      </c>
      <c r="O195" s="32">
        <f>E195/F195</f>
        <v>0.5</v>
      </c>
      <c r="P195" s="32">
        <v>90</v>
      </c>
      <c r="Q195" s="32">
        <v>30</v>
      </c>
      <c r="R195" s="42">
        <v>30</v>
      </c>
      <c r="S195" s="42">
        <v>1.99</v>
      </c>
      <c r="T195" s="33">
        <f>ROUND((L195*I195+1.3*L195*K195+S195*H195),4)</f>
        <v>7547.3760000000002</v>
      </c>
      <c r="U195" s="33">
        <f>ROUND((M195*I195+1.3*M195*K195+S195*H195),4)</f>
        <v>7547.3760000000002</v>
      </c>
      <c r="V195" s="33">
        <f>ROUND((M195*I195+1.3*M195*K195+S195*H195),4)</f>
        <v>7547.3760000000002</v>
      </c>
      <c r="W195" s="33">
        <f>ROUND((L195*J195+1.3*L195*N195+S195*G195),4)</f>
        <v>286.26</v>
      </c>
      <c r="X195" s="33">
        <f>ROUND((M195*J195+1.3*M195*N195+S195*G195),4)</f>
        <v>286.26</v>
      </c>
      <c r="Y195" s="33">
        <f>ROUND((M195*J195+1.3*M195*N195+S195*G195),4)</f>
        <v>286.26</v>
      </c>
      <c r="Z195" s="43">
        <f>ROUND((P195*T195*F195*O195/1000000),4)</f>
        <v>0.67930000000000001</v>
      </c>
      <c r="AA195" s="43">
        <f>ROUND((Q195*U195*F195*O195/1000000),4)</f>
        <v>0.22639999999999999</v>
      </c>
      <c r="AB195" s="43">
        <f>ROUND((R195*V195*F195*O195/1000000),4)</f>
        <v>0.22639999999999999</v>
      </c>
      <c r="AC195" s="44" t="s">
        <v>111</v>
      </c>
      <c r="AD195" s="45" t="s">
        <v>95</v>
      </c>
      <c r="AE195" s="30">
        <f>ROUND((((X195*E195)/1800)*0.8),4)</f>
        <v>0.12720000000000001</v>
      </c>
      <c r="AF195" s="30">
        <f>ROUND(((Z195+AA195+AB195)*0.8),4)</f>
        <v>0.90569999999999995</v>
      </c>
      <c r="AG195" s="50"/>
      <c r="AH195" s="50"/>
    </row>
    <row r="196" spans="1:36" ht="12.95" customHeight="1" x14ac:dyDescent="0.25">
      <c r="A196" s="36"/>
      <c r="B196" s="35" t="s">
        <v>183</v>
      </c>
      <c r="C196" s="36"/>
      <c r="D196" s="36"/>
      <c r="E196" s="36"/>
      <c r="F196" s="36"/>
      <c r="G196" s="36"/>
      <c r="H196" s="36"/>
      <c r="I196" s="36"/>
      <c r="J196" s="36"/>
      <c r="K196" s="36"/>
      <c r="L196" s="37"/>
      <c r="M196" s="37"/>
      <c r="N196" s="36"/>
      <c r="O196" s="36"/>
      <c r="P196" s="36"/>
      <c r="Q196" s="36"/>
      <c r="R196" s="36"/>
      <c r="S196" s="46"/>
      <c r="T196" s="47"/>
      <c r="U196" s="47"/>
      <c r="V196" s="47"/>
      <c r="W196" s="47"/>
      <c r="X196" s="47"/>
      <c r="Y196" s="47"/>
      <c r="Z196" s="47"/>
      <c r="AA196" s="47"/>
      <c r="AB196" s="47"/>
      <c r="AC196" s="44" t="s">
        <v>112</v>
      </c>
      <c r="AD196" s="45" t="s">
        <v>113</v>
      </c>
      <c r="AE196" s="30">
        <f>ROUND((((X195*E195)/1800)*0.13),4)</f>
        <v>2.07E-2</v>
      </c>
      <c r="AF196" s="30">
        <f>ROUND(((Z195+AA195+AB195)*0.13),4)</f>
        <v>0.1472</v>
      </c>
      <c r="AG196" s="50"/>
      <c r="AH196" s="50"/>
    </row>
    <row r="197" spans="1:36" ht="12.95" customHeight="1" x14ac:dyDescent="0.25">
      <c r="A197" s="36"/>
      <c r="C197" s="39"/>
      <c r="D197" s="39"/>
      <c r="E197" s="36"/>
      <c r="F197" s="36"/>
      <c r="G197" s="36"/>
      <c r="H197" s="36"/>
      <c r="I197" s="36"/>
      <c r="J197" s="36"/>
      <c r="K197" s="36"/>
      <c r="L197" s="40">
        <v>0.8</v>
      </c>
      <c r="M197" s="40">
        <v>0.98</v>
      </c>
      <c r="N197" s="36"/>
      <c r="O197" s="36"/>
      <c r="P197" s="36"/>
      <c r="Q197" s="36"/>
      <c r="R197" s="36"/>
      <c r="S197" s="48">
        <v>0.39</v>
      </c>
      <c r="T197" s="33">
        <f>ROUND((L197*I195+1.3*L197*K195+S197*H195),4)</f>
        <v>608.28</v>
      </c>
      <c r="U197" s="33">
        <f>ROUND((M197*0.9*I195+1.3*M197*0.9*K195+S197*H195),4)</f>
        <v>668.23019999999997</v>
      </c>
      <c r="V197" s="33">
        <f>ROUND((M197*I195+1.3*M197*K195+S197*H195),4)</f>
        <v>739.87800000000004</v>
      </c>
      <c r="W197" s="33">
        <f>ROUND((L197*J195+1.3*L197*N195+S197*G195),4)</f>
        <v>23.94</v>
      </c>
      <c r="X197" s="33">
        <f>ROUND((M197*0.9*J195+1.3*M197*0.9*N195+S197*G195),4)</f>
        <v>26.154</v>
      </c>
      <c r="Y197" s="33">
        <f>ROUND((M197*J195+1.3*M197*N195+S197*G195),4)</f>
        <v>28.8</v>
      </c>
      <c r="Z197" s="43">
        <f>ROUND((P195*T197*F195*O195/1000000),4)</f>
        <v>5.4699999999999999E-2</v>
      </c>
      <c r="AA197" s="43">
        <f>ROUND((Q195*U197*F195*O195/1000000),4)</f>
        <v>0.02</v>
      </c>
      <c r="AB197" s="43">
        <f>ROUND((R195*V197*F195*O195/1000000),4)</f>
        <v>2.2200000000000001E-2</v>
      </c>
      <c r="AC197" s="44" t="s">
        <v>167</v>
      </c>
      <c r="AD197" s="45" t="s">
        <v>115</v>
      </c>
      <c r="AE197" s="30">
        <f>ROUND((((X197*E195)/1800)),4)</f>
        <v>1.4500000000000001E-2</v>
      </c>
      <c r="AF197" s="30">
        <f>ROUND(((Z197+AA197+AB197)),5)</f>
        <v>9.69E-2</v>
      </c>
      <c r="AG197" s="50"/>
      <c r="AH197" s="50"/>
    </row>
    <row r="198" spans="1:36" ht="12.95" customHeight="1" x14ac:dyDescent="0.25">
      <c r="A198" s="36"/>
      <c r="C198" s="36"/>
      <c r="D198" s="36"/>
      <c r="E198" s="36"/>
      <c r="F198" s="36"/>
      <c r="G198" s="36"/>
      <c r="H198" s="36"/>
      <c r="I198" s="36"/>
      <c r="J198" s="36"/>
      <c r="K198" s="36"/>
      <c r="L198" s="40">
        <v>1.79</v>
      </c>
      <c r="M198" s="40">
        <v>2.15</v>
      </c>
      <c r="N198" s="36"/>
      <c r="O198" s="36"/>
      <c r="P198" s="36"/>
      <c r="Q198" s="36"/>
      <c r="R198" s="36"/>
      <c r="S198" s="49">
        <v>1.24</v>
      </c>
      <c r="T198" s="33">
        <f>ROUND((L198*I195+1.3*L198*K195+S198*H195),4)</f>
        <v>1383.069</v>
      </c>
      <c r="U198" s="33">
        <f>ROUND((M198*0.9*I195+1.3*M198*0.9*K195+S198*H195),4)</f>
        <v>1489.0785000000001</v>
      </c>
      <c r="V198" s="33">
        <f>ROUND((M198*I195+1.3*M198*K195+S198*H195),4)</f>
        <v>1646.2650000000001</v>
      </c>
      <c r="W198" s="33">
        <f>ROUND((L198*J195+1.3*L198*N195+S198*G195),4)</f>
        <v>55.77</v>
      </c>
      <c r="X198" s="33">
        <f>ROUND((M198*0.9*J195+1.3*M198*0.9*N195+S198*G195),4)</f>
        <v>59.685000000000002</v>
      </c>
      <c r="Y198" s="33">
        <f>ROUND((M198*J195+1.3*N195+S198*G195),4)</f>
        <v>50.54</v>
      </c>
      <c r="Z198" s="43">
        <f>ROUND((P195*T198*F195*O195/1000000),4)</f>
        <v>0.1245</v>
      </c>
      <c r="AA198" s="43">
        <f>ROUND((Q195*U198*F195*O195/1000000),4)</f>
        <v>4.4699999999999997E-2</v>
      </c>
      <c r="AB198" s="43">
        <f>ROUND((R195*V198*F195*O195/1000000),4)</f>
        <v>4.9399999999999999E-2</v>
      </c>
      <c r="AC198" s="44" t="s">
        <v>168</v>
      </c>
      <c r="AD198" s="45" t="s">
        <v>169</v>
      </c>
      <c r="AE198" s="30">
        <f>ROUND((((X198*E195)/1800)),4)</f>
        <v>3.32E-2</v>
      </c>
      <c r="AF198" s="30">
        <f>ROUND(((Z198+AA198+AB198)),4)</f>
        <v>0.21859999999999999</v>
      </c>
      <c r="AG198" s="50"/>
      <c r="AH198" s="50"/>
    </row>
    <row r="199" spans="1:36" ht="12.95" customHeight="1" x14ac:dyDescent="0.25">
      <c r="A199" s="36"/>
      <c r="B199" s="35"/>
      <c r="C199" s="36"/>
      <c r="D199" s="36"/>
      <c r="E199" s="36"/>
      <c r="F199" s="36"/>
      <c r="G199" s="36"/>
      <c r="H199" s="36"/>
      <c r="I199" s="36"/>
      <c r="J199" s="36"/>
      <c r="K199" s="36"/>
      <c r="L199" s="40">
        <v>1.1299999999999999</v>
      </c>
      <c r="M199" s="40">
        <v>1.7</v>
      </c>
      <c r="N199" s="36"/>
      <c r="O199" s="36"/>
      <c r="P199" s="36"/>
      <c r="Q199" s="36"/>
      <c r="R199" s="36"/>
      <c r="S199" s="49">
        <v>0.26</v>
      </c>
      <c r="T199" s="33">
        <f>ROUND((L199*I195+1.3*L199*K195+S199*H195),4)</f>
        <v>841.74300000000005</v>
      </c>
      <c r="U199" s="33">
        <f>ROUND((M199*0.9*I195+1.3*M199*0.9*K195+S199*H195),4)</f>
        <v>1134.183</v>
      </c>
      <c r="V199" s="33">
        <f>ROUND((M199*I195+1.3*M199*K195+S199*H195),4)</f>
        <v>1258.47</v>
      </c>
      <c r="W199" s="33">
        <f>ROUND((L199*J195+1.3*L199*N195+S199*G195),4)</f>
        <v>32.07</v>
      </c>
      <c r="X199" s="33">
        <f>ROUND((M199*0.9*J195+1.3*M199*0.9*N195+S199*G195),4)</f>
        <v>42.87</v>
      </c>
      <c r="Y199" s="33">
        <f>ROUND((M199*J195+1.3*M199*N195+S199*G195),4)</f>
        <v>47.46</v>
      </c>
      <c r="Z199" s="43">
        <f>ROUND((P195*T199*F195*O195/1000000),4)</f>
        <v>7.5800000000000006E-2</v>
      </c>
      <c r="AA199" s="43">
        <f>ROUND((Q195*U199*F195*O195/1000000),4)</f>
        <v>3.4000000000000002E-2</v>
      </c>
      <c r="AB199" s="43">
        <f>ROUND((R195*V199*F195*O195/1000000),4)</f>
        <v>3.78E-2</v>
      </c>
      <c r="AC199" s="44" t="s">
        <v>170</v>
      </c>
      <c r="AD199" s="45" t="s">
        <v>119</v>
      </c>
      <c r="AE199" s="30">
        <f>ROUND((((X199*E195)/1800)),4)</f>
        <v>2.3800000000000002E-2</v>
      </c>
      <c r="AF199" s="30">
        <f>ROUND(((Z199+AA199+AB199)),4)</f>
        <v>0.14760000000000001</v>
      </c>
      <c r="AG199" s="50"/>
      <c r="AH199" s="50"/>
    </row>
    <row r="200" spans="1:36" ht="12.95" customHeight="1" x14ac:dyDescent="0.25">
      <c r="A200" s="36"/>
      <c r="B200" s="41"/>
      <c r="C200" s="37"/>
      <c r="D200" s="37"/>
      <c r="E200" s="37"/>
      <c r="F200" s="37"/>
      <c r="G200" s="37"/>
      <c r="H200" s="37"/>
      <c r="I200" s="37"/>
      <c r="J200" s="37"/>
      <c r="K200" s="37"/>
      <c r="L200" s="40">
        <v>5.3</v>
      </c>
      <c r="M200" s="40">
        <v>6.47</v>
      </c>
      <c r="N200" s="37"/>
      <c r="O200" s="37"/>
      <c r="P200" s="37"/>
      <c r="Q200" s="37"/>
      <c r="R200" s="37"/>
      <c r="S200" s="49">
        <v>9.92</v>
      </c>
      <c r="T200" s="33">
        <f>ROUND((L200*I195+1.3*L200*K195+S200*H195),4)</f>
        <v>4470.03</v>
      </c>
      <c r="U200" s="33">
        <f>ROUND((M200*0.9*I195+1.3*M200*0.9*K195+S200*H195),4)</f>
        <v>4852.3953000000001</v>
      </c>
      <c r="V200" s="33">
        <f>ROUND((M200*I195+1.3*M200*K195+S200*H195),4)</f>
        <v>5325.4170000000004</v>
      </c>
      <c r="W200" s="33">
        <f>ROUND((L200*J195+1.3*L200*N195+S200*G195),4)</f>
        <v>202.62</v>
      </c>
      <c r="X200" s="33">
        <f>ROUND((M200*0.9*J195+1.3*M200*0.9*N195+S200*G195),4)</f>
        <v>216.74100000000001</v>
      </c>
      <c r="Y200" s="33">
        <f>ROUND((M200*J195+1.3*M200*N195+S200*G195),4)</f>
        <v>234.21</v>
      </c>
      <c r="Z200" s="43">
        <f>ROUND((P195*T200*F195*O195/1000000),4)</f>
        <v>0.40229999999999999</v>
      </c>
      <c r="AA200" s="43">
        <f>ROUND((Q195*U200*F195*O195/1000000),4)</f>
        <v>0.14560000000000001</v>
      </c>
      <c r="AB200" s="43">
        <f>ROUND((R195*V200*F195*O195/1000000),4)</f>
        <v>0.1598</v>
      </c>
      <c r="AC200" s="44" t="s">
        <v>171</v>
      </c>
      <c r="AD200" s="45" t="s">
        <v>104</v>
      </c>
      <c r="AE200" s="30">
        <f>ROUND((((X200*E195)/1800)),4)</f>
        <v>0.12039999999999999</v>
      </c>
      <c r="AF200" s="30">
        <f>ROUND(((Z200+AA200+AB200)),4)</f>
        <v>0.7077</v>
      </c>
      <c r="AG200" s="50"/>
      <c r="AH200" s="50"/>
    </row>
    <row r="201" spans="1:36" ht="12.95" customHeight="1" x14ac:dyDescent="0.25">
      <c r="A201" s="36"/>
      <c r="B201" s="50" t="s">
        <v>184</v>
      </c>
      <c r="C201" s="31">
        <v>1</v>
      </c>
      <c r="D201" s="32" t="s">
        <v>185</v>
      </c>
      <c r="E201" s="32">
        <v>1</v>
      </c>
      <c r="F201" s="32">
        <v>4</v>
      </c>
      <c r="G201" s="32">
        <v>6</v>
      </c>
      <c r="H201" s="32">
        <v>60</v>
      </c>
      <c r="I201" s="32">
        <f>(8-1-0.75*2)*60*F201-K201-8*0.12*60</f>
        <v>404.4</v>
      </c>
      <c r="J201" s="32">
        <v>14</v>
      </c>
      <c r="K201" s="32">
        <f>(8-1-0.75*2)*0.65*60*F201</f>
        <v>858</v>
      </c>
      <c r="L201" s="33">
        <v>0.47</v>
      </c>
      <c r="M201" s="33">
        <v>0.47</v>
      </c>
      <c r="N201" s="32">
        <v>10</v>
      </c>
      <c r="O201" s="32">
        <f>E201/F201</f>
        <v>0.25</v>
      </c>
      <c r="P201" s="32">
        <v>140</v>
      </c>
      <c r="Q201" s="32">
        <v>20</v>
      </c>
      <c r="R201" s="42">
        <v>20</v>
      </c>
      <c r="S201" s="42">
        <v>0.09</v>
      </c>
      <c r="T201" s="33">
        <f>ROUND((L201*I201+1.3*L201*K201+S201*H201),4)</f>
        <v>719.70600000000002</v>
      </c>
      <c r="U201" s="33">
        <f>ROUND((M201*I201+1.3*M201*K201+S201*H201),4)</f>
        <v>719.70600000000002</v>
      </c>
      <c r="V201" s="33">
        <f>ROUND((M201*I201+1.3*M201*K201+S201*H201),4)</f>
        <v>719.70600000000002</v>
      </c>
      <c r="W201" s="33">
        <f>ROUND((L201*J201+1.3*L201*N201+S201*G201),4)</f>
        <v>13.23</v>
      </c>
      <c r="X201" s="33">
        <f>ROUND((M201*J201+1.3*M201*N201+S201*G201),4)</f>
        <v>13.23</v>
      </c>
      <c r="Y201" s="33">
        <f>ROUND((M201*J201+1.3*M201*N201+S201*G201),4)</f>
        <v>13.23</v>
      </c>
      <c r="Z201" s="43">
        <f>ROUND((P201*T201*F201*O201/1000000),4)</f>
        <v>0.1008</v>
      </c>
      <c r="AA201" s="43">
        <f>ROUND((Q201*U201*F201*O201/1000000),4)</f>
        <v>1.44E-2</v>
      </c>
      <c r="AB201" s="43">
        <f>ROUND((R201*V201*F201*O201/1000000),4)</f>
        <v>1.44E-2</v>
      </c>
      <c r="AC201" s="44" t="s">
        <v>111</v>
      </c>
      <c r="AD201" s="45" t="s">
        <v>95</v>
      </c>
      <c r="AE201" s="30">
        <f>ROUND((((X201*E201)/1800)*0.8),4)</f>
        <v>5.8999999999999999E-3</v>
      </c>
      <c r="AF201" s="30">
        <f>ROUND(((Z201+AA201+AB201)*0.8),4)</f>
        <v>0.1037</v>
      </c>
      <c r="AG201" s="50"/>
      <c r="AH201" s="50"/>
    </row>
    <row r="202" spans="1:36" ht="12.95" customHeight="1" x14ac:dyDescent="0.25">
      <c r="A202" s="36"/>
      <c r="B202" s="35" t="s">
        <v>186</v>
      </c>
      <c r="C202" s="36"/>
      <c r="D202" s="36"/>
      <c r="E202" s="36"/>
      <c r="F202" s="36"/>
      <c r="G202" s="36"/>
      <c r="H202" s="36"/>
      <c r="I202" s="36"/>
      <c r="J202" s="36"/>
      <c r="K202" s="36"/>
      <c r="L202" s="37"/>
      <c r="M202" s="37"/>
      <c r="N202" s="36"/>
      <c r="O202" s="36"/>
      <c r="P202" s="36"/>
      <c r="Q202" s="36"/>
      <c r="R202" s="36"/>
      <c r="S202" s="46"/>
      <c r="T202" s="47"/>
      <c r="U202" s="47"/>
      <c r="V202" s="47"/>
      <c r="W202" s="47"/>
      <c r="X202" s="47"/>
      <c r="Y202" s="47"/>
      <c r="Z202" s="47"/>
      <c r="AA202" s="47"/>
      <c r="AB202" s="47"/>
      <c r="AC202" s="44" t="s">
        <v>112</v>
      </c>
      <c r="AD202" s="45" t="s">
        <v>113</v>
      </c>
      <c r="AE202" s="30">
        <f>ROUND((((X201*E201)/1800)*0.13),4)</f>
        <v>1E-3</v>
      </c>
      <c r="AF202" s="30">
        <f>ROUND(((Z201+AA201+AB201)*0.13),4)</f>
        <v>1.6799999999999999E-2</v>
      </c>
      <c r="AG202" s="50"/>
      <c r="AH202" s="50"/>
    </row>
    <row r="203" spans="1:36" ht="12.95" customHeight="1" x14ac:dyDescent="0.25">
      <c r="A203" s="36"/>
      <c r="C203" s="39"/>
      <c r="D203" s="39"/>
      <c r="E203" s="36"/>
      <c r="F203" s="36"/>
      <c r="G203" s="36"/>
      <c r="H203" s="36"/>
      <c r="I203" s="36"/>
      <c r="J203" s="36"/>
      <c r="K203" s="36"/>
      <c r="L203" s="40">
        <v>0.8</v>
      </c>
      <c r="M203" s="40">
        <v>0.98</v>
      </c>
      <c r="N203" s="36"/>
      <c r="O203" s="36"/>
      <c r="P203" s="36"/>
      <c r="Q203" s="36"/>
      <c r="R203" s="36"/>
      <c r="S203" s="48">
        <v>1.7999999999999999E-2</v>
      </c>
      <c r="T203" s="33">
        <f>ROUND((L203*I201+1.3*L203*K201+S203*H201),4)</f>
        <v>1216.92</v>
      </c>
      <c r="U203" s="33">
        <f>ROUND((M203*0.9*I201+1.3*M203*0.9*K201+S203*H201),4)</f>
        <v>1341.5436</v>
      </c>
      <c r="V203" s="33">
        <f>ROUND((M203*I201+1.3*M203*K201+S203*H201),4)</f>
        <v>1490.4839999999999</v>
      </c>
      <c r="W203" s="33">
        <f>ROUND((L203*J201+1.3*L203*N201+S203*G201),4)</f>
        <v>21.707999999999998</v>
      </c>
      <c r="X203" s="33">
        <f>ROUND((M203*0.9*J201+1.3*M203*0.9*N201+S203*G201),4)</f>
        <v>23.922000000000001</v>
      </c>
      <c r="Y203" s="33">
        <f>ROUND((M203*J201+1.3*M203*N201+S203*G201),4)</f>
        <v>26.568000000000001</v>
      </c>
      <c r="Z203" s="43">
        <f>ROUND((P201*T203*F201*O201/1000000),4)</f>
        <v>0.1704</v>
      </c>
      <c r="AA203" s="43">
        <f>ROUND((Q201*U203*F201*O201/1000000),4)</f>
        <v>2.6800000000000001E-2</v>
      </c>
      <c r="AB203" s="43">
        <f>ROUND((R201*V203*F201*O201/1000000),4)</f>
        <v>2.98E-2</v>
      </c>
      <c r="AC203" s="44" t="s">
        <v>167</v>
      </c>
      <c r="AD203" s="45" t="s">
        <v>115</v>
      </c>
      <c r="AE203" s="30">
        <f>ROUND((((X203*E201)/1800)),4)</f>
        <v>1.3299999999999999E-2</v>
      </c>
      <c r="AF203" s="30">
        <f>ROUND(((Z203+AA203+AB203)),5)</f>
        <v>0.22700000000000001</v>
      </c>
      <c r="AG203" s="50"/>
      <c r="AH203" s="50"/>
    </row>
    <row r="204" spans="1:36" ht="12.95" customHeight="1" x14ac:dyDescent="0.25">
      <c r="A204" s="36"/>
      <c r="C204" s="36"/>
      <c r="D204" s="36"/>
      <c r="E204" s="36"/>
      <c r="F204" s="36"/>
      <c r="G204" s="36"/>
      <c r="H204" s="36"/>
      <c r="I204" s="36"/>
      <c r="J204" s="36"/>
      <c r="K204" s="36"/>
      <c r="L204" s="40">
        <v>0.08</v>
      </c>
      <c r="M204" s="40">
        <v>0.1</v>
      </c>
      <c r="N204" s="36"/>
      <c r="O204" s="36"/>
      <c r="P204" s="36"/>
      <c r="Q204" s="36"/>
      <c r="R204" s="36"/>
      <c r="S204" s="49">
        <v>0.06</v>
      </c>
      <c r="T204" s="33">
        <f>ROUND((L204*I201+1.3*L204*K201+S204*H201),4)</f>
        <v>125.184</v>
      </c>
      <c r="U204" s="33">
        <f>ROUND((M204*0.9*I201+1.3*M204*0.9*K201+S204*H201),4)</f>
        <v>140.38200000000001</v>
      </c>
      <c r="V204" s="33">
        <f>ROUND((M204*I201+1.3*M204*K201+S204*H201),4)</f>
        <v>155.58000000000001</v>
      </c>
      <c r="W204" s="33">
        <f>ROUND((L204*J201+1.3*L204*N201+S204*G201),4)</f>
        <v>2.52</v>
      </c>
      <c r="X204" s="33">
        <f>ROUND((M204*0.9*J201+1.3*M204*0.9*N201+S204*G201),4)</f>
        <v>2.79</v>
      </c>
      <c r="Y204" s="33">
        <f>ROUND((M204*J201+1.3*N201+S204*G201),4)</f>
        <v>14.76</v>
      </c>
      <c r="Z204" s="43">
        <f>ROUND((P201*T204*F201*O201/1000000),4)</f>
        <v>1.7500000000000002E-2</v>
      </c>
      <c r="AA204" s="43">
        <f>ROUND((Q201*U204*F201*O201/1000000),4)</f>
        <v>2.8E-3</v>
      </c>
      <c r="AB204" s="43">
        <f>ROUND((R201*V204*F201*O201/1000000),4)</f>
        <v>3.0999999999999999E-3</v>
      </c>
      <c r="AC204" s="44" t="s">
        <v>168</v>
      </c>
      <c r="AD204" s="45" t="s">
        <v>169</v>
      </c>
      <c r="AE204" s="30">
        <f>ROUND((((X204*E201)/1800)),4)</f>
        <v>1.6000000000000001E-3</v>
      </c>
      <c r="AF204" s="30">
        <f>ROUND(((Z204+AA204+AB204)),4)</f>
        <v>2.3400000000000001E-2</v>
      </c>
      <c r="AG204" s="50"/>
      <c r="AH204" s="50"/>
    </row>
    <row r="205" spans="1:36" ht="12.95" customHeight="1" x14ac:dyDescent="0.25">
      <c r="A205" s="36"/>
      <c r="B205" s="35"/>
      <c r="C205" s="36"/>
      <c r="D205" s="36"/>
      <c r="E205" s="36"/>
      <c r="F205" s="36"/>
      <c r="G205" s="36"/>
      <c r="H205" s="36"/>
      <c r="I205" s="36"/>
      <c r="J205" s="36"/>
      <c r="K205" s="36"/>
      <c r="L205" s="40">
        <v>0.05</v>
      </c>
      <c r="M205" s="40">
        <v>7.0000000000000007E-2</v>
      </c>
      <c r="N205" s="36"/>
      <c r="O205" s="36"/>
      <c r="P205" s="36"/>
      <c r="Q205" s="36"/>
      <c r="R205" s="36"/>
      <c r="S205" s="49">
        <v>0.01</v>
      </c>
      <c r="T205" s="33">
        <f>ROUND((L205*I201+1.3*L205*K201+S205*H201),4)</f>
        <v>76.59</v>
      </c>
      <c r="U205" s="33">
        <f>ROUND((M205*0.9*I201+1.3*M205*0.9*K201+S205*H201),4)</f>
        <v>96.347399999999993</v>
      </c>
      <c r="V205" s="33">
        <f>ROUND((M205*I201+1.3*M205*K201+S205*H201),4)</f>
        <v>106.986</v>
      </c>
      <c r="W205" s="33">
        <f>ROUND((L205*J201+1.3*L205*N201+S205*G201),4)</f>
        <v>1.41</v>
      </c>
      <c r="X205" s="33">
        <f>ROUND((M205*0.9*J201+1.3*M205*0.9*N201+S205*G201),4)</f>
        <v>1.7609999999999999</v>
      </c>
      <c r="Y205" s="33">
        <f>ROUND((M205*J201+1.3*M205*N201+S205*G201),4)</f>
        <v>1.95</v>
      </c>
      <c r="Z205" s="43">
        <f>ROUND((P201*T205*F201*O201/1000000),4)</f>
        <v>1.0699999999999999E-2</v>
      </c>
      <c r="AA205" s="43">
        <f>ROUND((Q201*U205*F201*O201/1000000),4)</f>
        <v>1.9E-3</v>
      </c>
      <c r="AB205" s="43">
        <f>ROUND((R201*V205*F201*O201/1000000),4)</f>
        <v>2.0999999999999999E-3</v>
      </c>
      <c r="AC205" s="44" t="s">
        <v>170</v>
      </c>
      <c r="AD205" s="45" t="s">
        <v>119</v>
      </c>
      <c r="AE205" s="30">
        <f>ROUND((((X205*E201)/1800)),4)</f>
        <v>1E-3</v>
      </c>
      <c r="AF205" s="30">
        <f>ROUND(((Z205+AA205+AB205)),4)</f>
        <v>1.47E-2</v>
      </c>
      <c r="AG205" s="50"/>
      <c r="AH205" s="50"/>
    </row>
    <row r="206" spans="1:36" ht="12.95" customHeight="1" x14ac:dyDescent="0.25">
      <c r="A206" s="36"/>
      <c r="B206" s="41"/>
      <c r="C206" s="37"/>
      <c r="D206" s="37"/>
      <c r="E206" s="37"/>
      <c r="F206" s="37"/>
      <c r="G206" s="37"/>
      <c r="H206" s="37"/>
      <c r="I206" s="37"/>
      <c r="J206" s="37"/>
      <c r="K206" s="37"/>
      <c r="L206" s="40">
        <v>3.5999999999999997E-2</v>
      </c>
      <c r="M206" s="40">
        <v>4.3999999999999997E-2</v>
      </c>
      <c r="N206" s="37"/>
      <c r="O206" s="37"/>
      <c r="P206" s="37"/>
      <c r="Q206" s="37"/>
      <c r="R206" s="37"/>
      <c r="S206" s="49">
        <v>0.45</v>
      </c>
      <c r="T206" s="33">
        <f>ROUND((L206*I201+1.3*L206*K201+S206*H201),4)</f>
        <v>81.712800000000001</v>
      </c>
      <c r="U206" s="33">
        <f>ROUND((M206*0.9*I201+1.3*M206*0.9*K201+S206*H201),4)</f>
        <v>87.184100000000001</v>
      </c>
      <c r="V206" s="33">
        <f>ROUND((M206*I201+1.3*M206*K201+S206*H201),4)</f>
        <v>93.871200000000002</v>
      </c>
      <c r="W206" s="33">
        <f>ROUND((L206*J201+1.3*L206*N201+S206*G201),4)</f>
        <v>3.6720000000000002</v>
      </c>
      <c r="X206" s="33">
        <f>ROUND((M206*0.9*J201+1.3*M206*0.9*N201+S206*G201),4)</f>
        <v>3.7692000000000001</v>
      </c>
      <c r="Y206" s="33">
        <f>ROUND((M206*J201+1.3*M206*N201+S206*G201),4)</f>
        <v>3.8879999999999999</v>
      </c>
      <c r="Z206" s="43">
        <f>ROUND((P201*T206*F201*O201/1000000),4)</f>
        <v>1.14E-2</v>
      </c>
      <c r="AA206" s="43">
        <f>ROUND((Q201*U206*F201*O201/1000000),4)</f>
        <v>1.6999999999999999E-3</v>
      </c>
      <c r="AB206" s="43">
        <f>ROUND((R201*V206*F201*O201/1000000),4)</f>
        <v>1.9E-3</v>
      </c>
      <c r="AC206" s="44" t="s">
        <v>171</v>
      </c>
      <c r="AD206" s="45" t="s">
        <v>104</v>
      </c>
      <c r="AE206" s="30">
        <f>ROUND((((X206*E201)/1800)),4)</f>
        <v>2.0999999999999999E-3</v>
      </c>
      <c r="AF206" s="30">
        <f>ROUND(((Z206+AA206+AB206)),4)</f>
        <v>1.4999999999999999E-2</v>
      </c>
      <c r="AG206" s="50"/>
      <c r="AH206" s="50"/>
    </row>
    <row r="207" spans="1:36" ht="12.95" customHeight="1" x14ac:dyDescent="0.25">
      <c r="A207" s="56"/>
      <c r="B207" s="31" t="s">
        <v>188</v>
      </c>
      <c r="C207" s="31">
        <v>6</v>
      </c>
      <c r="D207" s="32" t="s">
        <v>175</v>
      </c>
      <c r="E207" s="32">
        <v>1</v>
      </c>
      <c r="F207" s="32">
        <v>1</v>
      </c>
      <c r="G207" s="32">
        <v>6</v>
      </c>
      <c r="H207" s="32">
        <v>60</v>
      </c>
      <c r="I207" s="32">
        <f>(8-1-0.75*2)*60*F207-K207-8*0.12*60</f>
        <v>57.900000000000006</v>
      </c>
      <c r="J207" s="32">
        <v>14</v>
      </c>
      <c r="K207" s="32">
        <f>(8-1-0.75*2)*0.65*60*F207</f>
        <v>214.5</v>
      </c>
      <c r="L207" s="33">
        <v>6.47</v>
      </c>
      <c r="M207" s="33">
        <v>6.47</v>
      </c>
      <c r="N207" s="32">
        <v>10</v>
      </c>
      <c r="O207" s="32">
        <f>E207/F207</f>
        <v>1</v>
      </c>
      <c r="P207" s="32">
        <v>5</v>
      </c>
      <c r="Q207" s="32">
        <v>5</v>
      </c>
      <c r="R207" s="42">
        <v>0</v>
      </c>
      <c r="S207" s="42">
        <v>1.27</v>
      </c>
      <c r="T207" s="33">
        <f>ROUND((L207*I207+1.3*L207*K207+S207*H207),4)</f>
        <v>2254.9724999999999</v>
      </c>
      <c r="U207" s="33">
        <f>ROUND((M207*I207+1.3*M207*K207+S207*H207),4)</f>
        <v>2254.9724999999999</v>
      </c>
      <c r="V207" s="33">
        <f>ROUND((M207*I207+1.3*M207*K207+S207*H207),4)</f>
        <v>2254.9724999999999</v>
      </c>
      <c r="W207" s="33">
        <f>ROUND((L207*J207+1.3*L207*N207+S207*G207),4)</f>
        <v>182.31</v>
      </c>
      <c r="X207" s="33">
        <f>ROUND((M207*J207+1.3*M207*N207+S207*G207),4)</f>
        <v>182.31</v>
      </c>
      <c r="Y207" s="33">
        <f>ROUND((M207*J207+1.3*M207*N207+S207*G207),4)</f>
        <v>182.31</v>
      </c>
      <c r="Z207" s="43">
        <f>ROUND((P207*T207*F207*O207/1000000),4)</f>
        <v>1.1299999999999999E-2</v>
      </c>
      <c r="AA207" s="43">
        <f>ROUND((Q207*U207*F207*O207/1000000),4)</f>
        <v>1.1299999999999999E-2</v>
      </c>
      <c r="AB207" s="43">
        <f>ROUND((R207*V207*F207*O207/1000000),4)</f>
        <v>0</v>
      </c>
      <c r="AC207" s="44" t="s">
        <v>111</v>
      </c>
      <c r="AD207" s="45" t="s">
        <v>95</v>
      </c>
      <c r="AE207" s="30">
        <f>ROUND((((X207*E207)/1800)*0.8),4)</f>
        <v>8.1000000000000003E-2</v>
      </c>
      <c r="AF207" s="30">
        <f>ROUND(((Z207+AA207+AB207)*0.8),4)</f>
        <v>1.8100000000000002E-2</v>
      </c>
      <c r="AG207" s="50"/>
      <c r="AH207" s="50"/>
      <c r="AI207" s="1"/>
      <c r="AJ207" s="1"/>
    </row>
    <row r="208" spans="1:36" ht="12.95" customHeight="1" x14ac:dyDescent="0.25">
      <c r="A208" s="56"/>
      <c r="B208" s="35" t="s">
        <v>189</v>
      </c>
      <c r="C208" s="36"/>
      <c r="D208" s="36"/>
      <c r="E208" s="36"/>
      <c r="F208" s="36"/>
      <c r="G208" s="36"/>
      <c r="H208" s="36"/>
      <c r="I208" s="36"/>
      <c r="J208" s="36"/>
      <c r="K208" s="36"/>
      <c r="L208" s="37"/>
      <c r="M208" s="37"/>
      <c r="N208" s="36"/>
      <c r="O208" s="36"/>
      <c r="P208" s="36"/>
      <c r="Q208" s="36"/>
      <c r="R208" s="36"/>
      <c r="S208" s="46"/>
      <c r="T208" s="47"/>
      <c r="U208" s="47"/>
      <c r="V208" s="47"/>
      <c r="W208" s="47"/>
      <c r="X208" s="47"/>
      <c r="Y208" s="47"/>
      <c r="Z208" s="47"/>
      <c r="AA208" s="47"/>
      <c r="AB208" s="47"/>
      <c r="AC208" s="44" t="s">
        <v>112</v>
      </c>
      <c r="AD208" s="45" t="s">
        <v>113</v>
      </c>
      <c r="AE208" s="30">
        <f>ROUND((((X207*E207)/1800)*0.13),4)</f>
        <v>1.32E-2</v>
      </c>
      <c r="AF208" s="30">
        <f>ROUND(((Z207+AA207+AB207)*0.13),4)</f>
        <v>2.8999999999999998E-3</v>
      </c>
      <c r="AG208" s="50"/>
      <c r="AH208" s="50"/>
      <c r="AI208" s="1"/>
      <c r="AJ208" s="1"/>
    </row>
    <row r="209" spans="1:36" ht="12.95" customHeight="1" x14ac:dyDescent="0.25">
      <c r="A209" s="56"/>
      <c r="B209" s="50"/>
      <c r="C209" s="39"/>
      <c r="D209" s="39"/>
      <c r="E209" s="36"/>
      <c r="F209" s="36"/>
      <c r="G209" s="36"/>
      <c r="H209" s="36"/>
      <c r="I209" s="36"/>
      <c r="J209" s="36"/>
      <c r="K209" s="36"/>
      <c r="L209" s="40">
        <v>0.51</v>
      </c>
      <c r="M209" s="40">
        <v>0.63</v>
      </c>
      <c r="N209" s="36"/>
      <c r="O209" s="36"/>
      <c r="P209" s="36"/>
      <c r="Q209" s="36"/>
      <c r="R209" s="36"/>
      <c r="S209" s="48">
        <v>0.25</v>
      </c>
      <c r="T209" s="33">
        <f>ROUND((L209*I207+1.3*L209*K207+S209*H207),4)</f>
        <v>186.74250000000001</v>
      </c>
      <c r="U209" s="33">
        <f>ROUND((M209*0.9*I207+1.3*M209*0.9*K207+S209*H207),4)</f>
        <v>205.93729999999999</v>
      </c>
      <c r="V209" s="33">
        <f>ROUND((M209*I207+1.3*M209*K207+S209*H207),4)</f>
        <v>227.1525</v>
      </c>
      <c r="W209" s="33">
        <f>ROUND((L209*J207+1.3*L209*N207+S209*G207),4)</f>
        <v>15.27</v>
      </c>
      <c r="X209" s="33">
        <f>ROUND((M209*0.9*J207+1.3*M209*0.9*N207+S209*G207),4)</f>
        <v>16.809000000000001</v>
      </c>
      <c r="Y209" s="33">
        <f>ROUND((M209*J207+1.3*M209*N207+S209*G207),4)</f>
        <v>18.510000000000002</v>
      </c>
      <c r="Z209" s="43">
        <f>ROUND((P207*T209*F207*O207/1000000),4)</f>
        <v>8.9999999999999998E-4</v>
      </c>
      <c r="AA209" s="43">
        <f>ROUND((Q207*U209*F207*O207/1000000),4)</f>
        <v>1E-3</v>
      </c>
      <c r="AB209" s="43">
        <f>ROUND((R207*V209*F207*O207/1000000),4)</f>
        <v>0</v>
      </c>
      <c r="AC209" s="44" t="s">
        <v>167</v>
      </c>
      <c r="AD209" s="45" t="s">
        <v>115</v>
      </c>
      <c r="AE209" s="30">
        <f>ROUND((((X209*E207)/1800)),4)</f>
        <v>9.2999999999999992E-3</v>
      </c>
      <c r="AF209" s="30">
        <f>ROUND(((Z209+AA209+AB209)),5)</f>
        <v>1.9E-3</v>
      </c>
      <c r="AG209" s="50"/>
      <c r="AH209" s="50"/>
      <c r="AI209" s="1"/>
      <c r="AJ209" s="1"/>
    </row>
    <row r="210" spans="1:36" ht="12.95" customHeight="1" x14ac:dyDescent="0.25">
      <c r="A210" s="56"/>
      <c r="B210" s="35"/>
      <c r="C210" s="36"/>
      <c r="D210" s="36"/>
      <c r="E210" s="36"/>
      <c r="F210" s="36"/>
      <c r="G210" s="36"/>
      <c r="H210" s="36"/>
      <c r="I210" s="36"/>
      <c r="J210" s="36"/>
      <c r="K210" s="36"/>
      <c r="L210" s="40">
        <v>1.1399999999999999</v>
      </c>
      <c r="M210" s="40">
        <v>1.37</v>
      </c>
      <c r="N210" s="36"/>
      <c r="O210" s="36"/>
      <c r="P210" s="36"/>
      <c r="Q210" s="36"/>
      <c r="R210" s="36"/>
      <c r="S210" s="49">
        <v>0.79</v>
      </c>
      <c r="T210" s="33">
        <f>ROUND((L210*I207+1.3*L210*K207+S210*H207),4)</f>
        <v>431.29500000000002</v>
      </c>
      <c r="U210" s="33">
        <f>ROUND((M210*0.9*I207+1.3*M210*0.9*K207+S210*H207),4)</f>
        <v>462.61279999999999</v>
      </c>
      <c r="V210" s="33">
        <f>ROUND((M210*I207+1.3*M210*K207+S210*H207),4)</f>
        <v>508.7475</v>
      </c>
      <c r="W210" s="33">
        <f>ROUND((L210*J207+1.3*L210*N207+S210*G207),4)</f>
        <v>35.520000000000003</v>
      </c>
      <c r="X210" s="33">
        <f>ROUND((M210*0.9*J207+1.3*M210*0.9*N207+S210*G207),4)</f>
        <v>38.030999999999999</v>
      </c>
      <c r="Y210" s="33">
        <f>ROUND((M210*J207+1.3*N207+S210*G207),4)</f>
        <v>36.92</v>
      </c>
      <c r="Z210" s="43">
        <f>ROUND((P207*T210*F207*O207/1000000),4)</f>
        <v>2.2000000000000001E-3</v>
      </c>
      <c r="AA210" s="43">
        <f>ROUND((Q207*U210*F207*O207/1000000),4)</f>
        <v>2.3E-3</v>
      </c>
      <c r="AB210" s="43">
        <f>ROUND((R207*V210*F207*O207/1000000),4)</f>
        <v>0</v>
      </c>
      <c r="AC210" s="44" t="s">
        <v>168</v>
      </c>
      <c r="AD210" s="45" t="s">
        <v>169</v>
      </c>
      <c r="AE210" s="30">
        <f>ROUND((((X210*E207)/1800)),4)</f>
        <v>2.1100000000000001E-2</v>
      </c>
      <c r="AF210" s="30">
        <f>ROUND(((Z210+AA210+AB210)),4)</f>
        <v>4.4999999999999997E-3</v>
      </c>
      <c r="AG210" s="50"/>
      <c r="AH210" s="50"/>
      <c r="AI210" s="1"/>
      <c r="AJ210" s="1"/>
    </row>
    <row r="211" spans="1:36" ht="12.95" customHeight="1" x14ac:dyDescent="0.25">
      <c r="A211" s="56"/>
      <c r="B211" s="35"/>
      <c r="C211" s="36"/>
      <c r="D211" s="36"/>
      <c r="E211" s="36"/>
      <c r="F211" s="36"/>
      <c r="G211" s="36"/>
      <c r="H211" s="36"/>
      <c r="I211" s="36"/>
      <c r="J211" s="36"/>
      <c r="K211" s="36"/>
      <c r="L211" s="40">
        <v>0.72</v>
      </c>
      <c r="M211" s="40">
        <v>1.08</v>
      </c>
      <c r="N211" s="36"/>
      <c r="O211" s="36"/>
      <c r="P211" s="36"/>
      <c r="Q211" s="36"/>
      <c r="R211" s="36"/>
      <c r="S211" s="49">
        <v>0.17</v>
      </c>
      <c r="T211" s="33">
        <f>ROUND((L211*I207+1.3*L211*K207+S211*H207),4)</f>
        <v>252.66</v>
      </c>
      <c r="U211" s="33">
        <f>ROUND((M211*0.9*I207+1.3*M211*0.9*K207+S211*H207),4)</f>
        <v>337.52100000000002</v>
      </c>
      <c r="V211" s="33">
        <f>ROUND((M211*I207+1.3*M211*K207+S211*H207),4)</f>
        <v>373.89</v>
      </c>
      <c r="W211" s="33">
        <f>ROUND((L211*J207+1.3*L211*N207+S211*G207),4)</f>
        <v>20.46</v>
      </c>
      <c r="X211" s="33">
        <f>ROUND((M211*0.9*J207+1.3*M211*0.9*N207+S211*G207),4)</f>
        <v>27.263999999999999</v>
      </c>
      <c r="Y211" s="33">
        <f>ROUND((M211*J207+1.3*M211*N207+S211*G207),4)</f>
        <v>30.18</v>
      </c>
      <c r="Z211" s="43">
        <f>ROUND((P207*T211*F207*O207/1000000),4)</f>
        <v>1.2999999999999999E-3</v>
      </c>
      <c r="AA211" s="43">
        <f>ROUND((Q207*U211*F207*O207/1000000),4)</f>
        <v>1.6999999999999999E-3</v>
      </c>
      <c r="AB211" s="43">
        <f>ROUND((R207*V211*F207*O207/1000000),4)</f>
        <v>0</v>
      </c>
      <c r="AC211" s="44" t="s">
        <v>170</v>
      </c>
      <c r="AD211" s="45" t="s">
        <v>119</v>
      </c>
      <c r="AE211" s="30">
        <f>ROUND((((X211*E207)/1800)),4)</f>
        <v>1.5100000000000001E-2</v>
      </c>
      <c r="AF211" s="30">
        <f>ROUND(((Z211+AA211+AB211)),4)</f>
        <v>3.0000000000000001E-3</v>
      </c>
      <c r="AG211" s="50"/>
      <c r="AH211" s="50"/>
      <c r="AI211" s="1"/>
      <c r="AJ211" s="1"/>
    </row>
    <row r="212" spans="1:36" ht="12.95" customHeight="1" x14ac:dyDescent="0.25">
      <c r="A212" s="56"/>
      <c r="B212" s="41"/>
      <c r="C212" s="37"/>
      <c r="D212" s="37"/>
      <c r="E212" s="37"/>
      <c r="F212" s="37"/>
      <c r="G212" s="37"/>
      <c r="H212" s="37"/>
      <c r="I212" s="37"/>
      <c r="J212" s="37"/>
      <c r="K212" s="37"/>
      <c r="L212" s="40">
        <v>3.37</v>
      </c>
      <c r="M212" s="40">
        <v>4.1100000000000003</v>
      </c>
      <c r="N212" s="37"/>
      <c r="O212" s="37"/>
      <c r="P212" s="37"/>
      <c r="Q212" s="37"/>
      <c r="R212" s="37"/>
      <c r="S212" s="49">
        <v>6.31</v>
      </c>
      <c r="T212" s="33">
        <f>ROUND((L212*I207+1.3*L212*K207+S212*H207),4)</f>
        <v>1513.4475</v>
      </c>
      <c r="U212" s="33">
        <f>ROUND((M212*0.9*I207+1.3*M212*0.9*K207+S212*H207),4)</f>
        <v>1624.2383</v>
      </c>
      <c r="V212" s="33">
        <f>ROUND((M212*I207+1.3*M212*K207+S212*H207),4)</f>
        <v>1762.6424999999999</v>
      </c>
      <c r="W212" s="33">
        <f>ROUND((L212*J207+1.3*L212*N207+S212*G207),4)</f>
        <v>128.85</v>
      </c>
      <c r="X212" s="33">
        <f>ROUND((M212*0.9*J207+1.3*M212*0.9*N207+S212*G207),4)</f>
        <v>137.733</v>
      </c>
      <c r="Y212" s="33">
        <f>ROUND((M212*J207+1.3*M212*N207+S212*G207),4)</f>
        <v>148.83000000000001</v>
      </c>
      <c r="Z212" s="43">
        <f>ROUND((P207*T212*F207*O207/1000000),4)</f>
        <v>7.6E-3</v>
      </c>
      <c r="AA212" s="43">
        <f>ROUND((Q207*U212*F207*O207/1000000),4)</f>
        <v>8.0999999999999996E-3</v>
      </c>
      <c r="AB212" s="43">
        <f>ROUND((R207*V212*F207*O207/1000000),4)</f>
        <v>0</v>
      </c>
      <c r="AC212" s="44" t="s">
        <v>171</v>
      </c>
      <c r="AD212" s="45" t="s">
        <v>104</v>
      </c>
      <c r="AE212" s="30">
        <f>ROUND((((X212*E207)/1800)),4)</f>
        <v>7.6499999999999999E-2</v>
      </c>
      <c r="AF212" s="30">
        <f>ROUND(((Z212+AA212+AB212)),4)</f>
        <v>1.5699999999999999E-2</v>
      </c>
      <c r="AG212" s="50"/>
      <c r="AH212" s="50"/>
      <c r="AI212" s="1"/>
      <c r="AJ212" s="1"/>
    </row>
    <row r="213" spans="1:36" ht="12.95" customHeight="1" x14ac:dyDescent="0.25">
      <c r="A213" s="56"/>
      <c r="B213" s="31" t="s">
        <v>190</v>
      </c>
      <c r="C213" s="31">
        <v>6</v>
      </c>
      <c r="D213" s="32" t="s">
        <v>175</v>
      </c>
      <c r="E213" s="32">
        <v>1</v>
      </c>
      <c r="F213" s="32">
        <v>2</v>
      </c>
      <c r="G213" s="32">
        <v>6</v>
      </c>
      <c r="H213" s="32">
        <v>60</v>
      </c>
      <c r="I213" s="32">
        <f>(8-1-0.75*2)*60*F213-K213-8*0.12*60</f>
        <v>173.4</v>
      </c>
      <c r="J213" s="32">
        <v>14</v>
      </c>
      <c r="K213" s="32">
        <f>(8-1-0.75*2)*0.65*60*F213</f>
        <v>429</v>
      </c>
      <c r="L213" s="33">
        <v>6.47</v>
      </c>
      <c r="M213" s="33">
        <v>6.47</v>
      </c>
      <c r="N213" s="32">
        <v>10</v>
      </c>
      <c r="O213" s="32">
        <f>E213/F213</f>
        <v>0.5</v>
      </c>
      <c r="P213" s="32">
        <v>60</v>
      </c>
      <c r="Q213" s="32">
        <v>15</v>
      </c>
      <c r="R213" s="42">
        <v>15</v>
      </c>
      <c r="S213" s="42">
        <v>1.27</v>
      </c>
      <c r="T213" s="33">
        <f>ROUND((L213*I213+1.3*L213*K213+S213*H213),4)</f>
        <v>4806.4170000000004</v>
      </c>
      <c r="U213" s="33">
        <f>ROUND((M213*I213+1.3*M213*K213+S213*H213),4)</f>
        <v>4806.4170000000004</v>
      </c>
      <c r="V213" s="33">
        <f>ROUND((M213*I213+1.3*M213*K213+S213*H213),4)</f>
        <v>4806.4170000000004</v>
      </c>
      <c r="W213" s="33">
        <f>ROUND((L213*J213+1.3*L213*N213+S213*G213),4)</f>
        <v>182.31</v>
      </c>
      <c r="X213" s="33">
        <f>ROUND((M213*J213+1.3*M213*N213+S213*G213),4)</f>
        <v>182.31</v>
      </c>
      <c r="Y213" s="33">
        <f>ROUND((M213*J213+1.3*M213*N213+S213*G213),4)</f>
        <v>182.31</v>
      </c>
      <c r="Z213" s="43">
        <f>ROUND((P213*T213*F213*O213/1000000),4)</f>
        <v>0.28839999999999999</v>
      </c>
      <c r="AA213" s="43">
        <f>ROUND((Q213*U213*F213*O213/1000000),4)</f>
        <v>7.2099999999999997E-2</v>
      </c>
      <c r="AB213" s="43">
        <f>ROUND((R213*V213*F213*O213/1000000),4)</f>
        <v>7.2099999999999997E-2</v>
      </c>
      <c r="AC213" s="44" t="s">
        <v>111</v>
      </c>
      <c r="AD213" s="45" t="s">
        <v>95</v>
      </c>
      <c r="AE213" s="30">
        <f>ROUND((((X213*E213)/1800)*0.8),4)</f>
        <v>8.1000000000000003E-2</v>
      </c>
      <c r="AF213" s="30">
        <f>ROUND(((Z213+AA213+AB213)*0.8),4)</f>
        <v>0.34610000000000002</v>
      </c>
      <c r="AG213" s="50"/>
      <c r="AH213" s="50"/>
    </row>
    <row r="214" spans="1:36" ht="12.95" customHeight="1" x14ac:dyDescent="0.25">
      <c r="A214" s="56"/>
      <c r="B214" s="35" t="s">
        <v>191</v>
      </c>
      <c r="C214" s="36"/>
      <c r="D214" s="36"/>
      <c r="E214" s="36"/>
      <c r="F214" s="36"/>
      <c r="G214" s="36"/>
      <c r="H214" s="36"/>
      <c r="I214" s="36"/>
      <c r="J214" s="36"/>
      <c r="K214" s="36"/>
      <c r="L214" s="37"/>
      <c r="M214" s="37"/>
      <c r="N214" s="36"/>
      <c r="O214" s="36"/>
      <c r="P214" s="36"/>
      <c r="Q214" s="36"/>
      <c r="R214" s="36"/>
      <c r="S214" s="46"/>
      <c r="T214" s="47"/>
      <c r="U214" s="47"/>
      <c r="V214" s="47"/>
      <c r="W214" s="47"/>
      <c r="X214" s="47"/>
      <c r="Y214" s="47"/>
      <c r="Z214" s="47"/>
      <c r="AA214" s="47"/>
      <c r="AB214" s="47"/>
      <c r="AC214" s="44" t="s">
        <v>112</v>
      </c>
      <c r="AD214" s="45" t="s">
        <v>113</v>
      </c>
      <c r="AE214" s="30">
        <f>ROUND((((X213*E213)/1800)*0.13),4)</f>
        <v>1.32E-2</v>
      </c>
      <c r="AF214" s="30">
        <f>ROUND(((Z213+AA213+AB213)*0.13),4)</f>
        <v>5.62E-2</v>
      </c>
      <c r="AG214" s="50"/>
      <c r="AH214" s="50"/>
    </row>
    <row r="215" spans="1:36" ht="12.95" customHeight="1" x14ac:dyDescent="0.25">
      <c r="A215" s="56"/>
      <c r="B215" s="50"/>
      <c r="C215" s="39"/>
      <c r="D215" s="39"/>
      <c r="E215" s="36"/>
      <c r="F215" s="36"/>
      <c r="G215" s="36"/>
      <c r="H215" s="36"/>
      <c r="I215" s="36"/>
      <c r="J215" s="36"/>
      <c r="K215" s="36"/>
      <c r="L215" s="40">
        <v>0.51</v>
      </c>
      <c r="M215" s="40">
        <v>0.63</v>
      </c>
      <c r="N215" s="36"/>
      <c r="O215" s="36"/>
      <c r="P215" s="36"/>
      <c r="Q215" s="36"/>
      <c r="R215" s="36"/>
      <c r="S215" s="48">
        <v>0.25</v>
      </c>
      <c r="T215" s="33">
        <f>ROUND((L215*I213+1.3*L215*K213+S215*H213),4)</f>
        <v>387.86099999999999</v>
      </c>
      <c r="U215" s="33">
        <f>ROUND((M215*0.9*I213+1.3*M215*0.9*K213+S215*H213),4)</f>
        <v>429.53370000000001</v>
      </c>
      <c r="V215" s="33">
        <f>ROUND((M215*I213+1.3*M215*K213+S215*H213),4)</f>
        <v>475.59300000000002</v>
      </c>
      <c r="W215" s="33">
        <f>ROUND((L215*J213+1.3*L215*N213+S215*G213),4)</f>
        <v>15.27</v>
      </c>
      <c r="X215" s="33">
        <f>ROUND((M215*0.9*J213+1.3*M215*0.9*N213+S215*G213),4)</f>
        <v>16.809000000000001</v>
      </c>
      <c r="Y215" s="33">
        <f>ROUND((M215*J213+1.3*M215*N213+S215*G213),4)</f>
        <v>18.510000000000002</v>
      </c>
      <c r="Z215" s="43">
        <f>ROUND((P213*T215*F213*O213/1000000),4)</f>
        <v>2.3300000000000001E-2</v>
      </c>
      <c r="AA215" s="43">
        <f>ROUND((Q213*U215*F213*O213/1000000),4)</f>
        <v>6.4000000000000003E-3</v>
      </c>
      <c r="AB215" s="43">
        <f>ROUND((R213*V215*F213*O213/1000000),4)</f>
        <v>7.1000000000000004E-3</v>
      </c>
      <c r="AC215" s="44" t="s">
        <v>167</v>
      </c>
      <c r="AD215" s="45" t="s">
        <v>115</v>
      </c>
      <c r="AE215" s="30">
        <f>ROUND((((X215*E213)/1800)),4)</f>
        <v>9.2999999999999992E-3</v>
      </c>
      <c r="AF215" s="30">
        <f>ROUND(((Z215+AA215+AB215)),5)</f>
        <v>3.6799999999999999E-2</v>
      </c>
      <c r="AG215" s="50"/>
      <c r="AH215" s="50"/>
    </row>
    <row r="216" spans="1:36" ht="12.95" customHeight="1" x14ac:dyDescent="0.25">
      <c r="A216" s="56"/>
      <c r="B216" s="35"/>
      <c r="C216" s="36"/>
      <c r="D216" s="36"/>
      <c r="E216" s="36"/>
      <c r="F216" s="36"/>
      <c r="G216" s="36"/>
      <c r="H216" s="36"/>
      <c r="I216" s="36"/>
      <c r="J216" s="36"/>
      <c r="K216" s="36"/>
      <c r="L216" s="40">
        <v>1.1399999999999999</v>
      </c>
      <c r="M216" s="40">
        <v>1.37</v>
      </c>
      <c r="N216" s="36"/>
      <c r="O216" s="36"/>
      <c r="P216" s="36"/>
      <c r="Q216" s="36"/>
      <c r="R216" s="36"/>
      <c r="S216" s="49">
        <v>0.79</v>
      </c>
      <c r="T216" s="33">
        <f>ROUND((L216*I213+1.3*L216*K213+S216*H213),4)</f>
        <v>880.85400000000004</v>
      </c>
      <c r="U216" s="33">
        <f>ROUND((M216*0.9*I213+1.3*M216*0.9*K213+S216*H213),4)</f>
        <v>948.84630000000004</v>
      </c>
      <c r="V216" s="33">
        <f>ROUND((M216*I213+1.3*M216*K213+S216*H213),4)</f>
        <v>1049.0070000000001</v>
      </c>
      <c r="W216" s="33">
        <f>ROUND((L216*J213+1.3*L216*N213+S216*G213),4)</f>
        <v>35.520000000000003</v>
      </c>
      <c r="X216" s="33">
        <f>ROUND((M216*0.9*J213+1.3*M216*0.9*N213+S216*G213),4)</f>
        <v>38.030999999999999</v>
      </c>
      <c r="Y216" s="33">
        <f>ROUND((M216*J213+1.3*N213+S216*G213),4)</f>
        <v>36.92</v>
      </c>
      <c r="Z216" s="43">
        <f>ROUND((P213*T216*F213*O213/1000000),4)</f>
        <v>5.2900000000000003E-2</v>
      </c>
      <c r="AA216" s="43">
        <f>ROUND((Q213*U216*F213*O213/1000000),4)</f>
        <v>1.4200000000000001E-2</v>
      </c>
      <c r="AB216" s="43">
        <f>ROUND((R213*V216*F213*O213/1000000),4)</f>
        <v>1.5699999999999999E-2</v>
      </c>
      <c r="AC216" s="44" t="s">
        <v>168</v>
      </c>
      <c r="AD216" s="45" t="s">
        <v>169</v>
      </c>
      <c r="AE216" s="30">
        <f>ROUND((((X216*E213)/1800)),4)</f>
        <v>2.1100000000000001E-2</v>
      </c>
      <c r="AF216" s="30">
        <f>ROUND(((Z216+AA216+AB216)),4)</f>
        <v>8.2799999999999999E-2</v>
      </c>
      <c r="AG216" s="50"/>
      <c r="AH216" s="50"/>
    </row>
    <row r="217" spans="1:36" ht="12.95" customHeight="1" x14ac:dyDescent="0.25">
      <c r="A217" s="56"/>
      <c r="B217" s="35"/>
      <c r="C217" s="36"/>
      <c r="D217" s="36"/>
      <c r="E217" s="36"/>
      <c r="F217" s="36"/>
      <c r="G217" s="36"/>
      <c r="H217" s="36"/>
      <c r="I217" s="36"/>
      <c r="J217" s="36"/>
      <c r="K217" s="36"/>
      <c r="L217" s="40">
        <v>0.72</v>
      </c>
      <c r="M217" s="40">
        <v>1.08</v>
      </c>
      <c r="N217" s="36"/>
      <c r="O217" s="36"/>
      <c r="P217" s="36"/>
      <c r="Q217" s="36"/>
      <c r="R217" s="36"/>
      <c r="S217" s="49">
        <v>0.17</v>
      </c>
      <c r="T217" s="33">
        <f>ROUND((L217*I213+1.3*L217*K213+S217*H213),4)</f>
        <v>536.59199999999998</v>
      </c>
      <c r="U217" s="33">
        <f>ROUND((M217*0.9*I213+1.3*M217*0.9*K213+S217*H213),4)</f>
        <v>720.82920000000001</v>
      </c>
      <c r="V217" s="33">
        <f>ROUND((M217*I213+1.3*M217*K213+S217*H213),4)</f>
        <v>799.78800000000001</v>
      </c>
      <c r="W217" s="33">
        <f>ROUND((L217*J213+1.3*L217*N213+S217*G213),4)</f>
        <v>20.46</v>
      </c>
      <c r="X217" s="33">
        <f>ROUND((M217*0.9*J213+1.3*M217*0.9*N213+S217*G213),4)</f>
        <v>27.263999999999999</v>
      </c>
      <c r="Y217" s="33">
        <f>ROUND((M217*J213+1.3*M217*N213+S217*G213),4)</f>
        <v>30.18</v>
      </c>
      <c r="Z217" s="43">
        <f>ROUND((P213*T217*F213*O213/1000000),4)</f>
        <v>3.2199999999999999E-2</v>
      </c>
      <c r="AA217" s="43">
        <f>ROUND((Q213*U217*F213*O213/1000000),4)</f>
        <v>1.0800000000000001E-2</v>
      </c>
      <c r="AB217" s="43">
        <f>ROUND((R213*V217*F213*O213/1000000),4)</f>
        <v>1.2E-2</v>
      </c>
      <c r="AC217" s="44" t="s">
        <v>170</v>
      </c>
      <c r="AD217" s="45" t="s">
        <v>119</v>
      </c>
      <c r="AE217" s="30">
        <f>ROUND((((X217*E213)/1800)),4)</f>
        <v>1.5100000000000001E-2</v>
      </c>
      <c r="AF217" s="30">
        <f>ROUND(((Z217+AA217+AB217)),4)</f>
        <v>5.5E-2</v>
      </c>
      <c r="AG217" s="50"/>
      <c r="AH217" s="50"/>
    </row>
    <row r="218" spans="1:36" ht="12.95" customHeight="1" x14ac:dyDescent="0.25">
      <c r="A218" s="56"/>
      <c r="B218" s="41"/>
      <c r="C218" s="37"/>
      <c r="D218" s="37"/>
      <c r="E218" s="37"/>
      <c r="F218" s="37"/>
      <c r="G218" s="37"/>
      <c r="H218" s="37"/>
      <c r="I218" s="37"/>
      <c r="J218" s="37"/>
      <c r="K218" s="37"/>
      <c r="L218" s="40">
        <v>3.37</v>
      </c>
      <c r="M218" s="40">
        <v>4.1100000000000003</v>
      </c>
      <c r="N218" s="37"/>
      <c r="O218" s="37"/>
      <c r="P218" s="37"/>
      <c r="Q218" s="37"/>
      <c r="R218" s="37"/>
      <c r="S218" s="49">
        <v>6.31</v>
      </c>
      <c r="T218" s="33">
        <f>ROUND((L218*I213+1.3*L218*K213+S218*H213),4)</f>
        <v>2842.4070000000002</v>
      </c>
      <c r="U218" s="33">
        <f>ROUND((M218*0.9*I213+1.3*M218*0.9*K213+S218*H213),4)</f>
        <v>3082.9389000000001</v>
      </c>
      <c r="V218" s="33">
        <f>ROUND((M218*I213+1.3*M218*K213+S218*H213),4)</f>
        <v>3383.4209999999998</v>
      </c>
      <c r="W218" s="33">
        <f>ROUND((L218*J213+1.3*L218*N213+S218*G213),4)</f>
        <v>128.85</v>
      </c>
      <c r="X218" s="33">
        <f>ROUND((M218*0.9*J213+1.3*M218*0.9*N213+S218*G213),4)</f>
        <v>137.733</v>
      </c>
      <c r="Y218" s="33">
        <f>ROUND((M218*J213+1.3*M218*N213+S218*G213),4)</f>
        <v>148.83000000000001</v>
      </c>
      <c r="Z218" s="43">
        <f>ROUND((P213*T218*F213*O213/1000000),4)</f>
        <v>0.17050000000000001</v>
      </c>
      <c r="AA218" s="43">
        <f>ROUND((Q213*U218*F213*O213/1000000),4)</f>
        <v>4.6199999999999998E-2</v>
      </c>
      <c r="AB218" s="43">
        <f>ROUND((R213*V218*F213*O213/1000000),4)</f>
        <v>5.0799999999999998E-2</v>
      </c>
      <c r="AC218" s="44" t="s">
        <v>171</v>
      </c>
      <c r="AD218" s="45" t="s">
        <v>104</v>
      </c>
      <c r="AE218" s="30">
        <f>ROUND((((X218*E213)/1800)),4)</f>
        <v>7.6499999999999999E-2</v>
      </c>
      <c r="AF218" s="30">
        <f>ROUND(((Z218+AA218+AB218)),4)</f>
        <v>0.26750000000000002</v>
      </c>
      <c r="AG218" s="50"/>
      <c r="AH218" s="50"/>
    </row>
    <row r="219" spans="1:36" ht="12.95" customHeight="1" x14ac:dyDescent="0.25">
      <c r="A219" s="36"/>
      <c r="B219" s="50" t="s">
        <v>181</v>
      </c>
      <c r="C219" s="31">
        <v>7</v>
      </c>
      <c r="D219" s="32" t="s">
        <v>179</v>
      </c>
      <c r="E219" s="32">
        <v>1</v>
      </c>
      <c r="F219" s="32">
        <v>2</v>
      </c>
      <c r="G219" s="32">
        <v>6</v>
      </c>
      <c r="H219" s="32">
        <v>60</v>
      </c>
      <c r="I219" s="32">
        <f>(8-1-0.75*2)*60*F219-K219-8*0.12*60</f>
        <v>173.4</v>
      </c>
      <c r="J219" s="32">
        <v>14</v>
      </c>
      <c r="K219" s="32">
        <f>(8-1-0.75*2)*0.65*60*F219</f>
        <v>429</v>
      </c>
      <c r="L219" s="33">
        <v>10.16</v>
      </c>
      <c r="M219" s="33">
        <v>10.16</v>
      </c>
      <c r="N219" s="32">
        <v>10</v>
      </c>
      <c r="O219" s="32">
        <f>E219/F219</f>
        <v>0.5</v>
      </c>
      <c r="P219" s="32">
        <v>90</v>
      </c>
      <c r="Q219" s="32">
        <v>30</v>
      </c>
      <c r="R219" s="42">
        <v>30</v>
      </c>
      <c r="S219" s="42">
        <v>1.99</v>
      </c>
      <c r="T219" s="33">
        <f>ROUND((L219*I219+1.3*L219*K219+S219*H219),4)</f>
        <v>7547.3760000000002</v>
      </c>
      <c r="U219" s="33">
        <f>ROUND((M219*I219+1.3*M219*K219+S219*H219),4)</f>
        <v>7547.3760000000002</v>
      </c>
      <c r="V219" s="33">
        <f>ROUND((M219*I219+1.3*M219*K219+S219*H219),4)</f>
        <v>7547.3760000000002</v>
      </c>
      <c r="W219" s="33">
        <f>ROUND((L219*J219+1.3*L219*N219+S219*G219),4)</f>
        <v>286.26</v>
      </c>
      <c r="X219" s="33">
        <f>ROUND((M219*J219+1.3*M219*N219+S219*G219),4)</f>
        <v>286.26</v>
      </c>
      <c r="Y219" s="33">
        <f>ROUND((M219*J219+1.3*M219*N219+S219*G219),4)</f>
        <v>286.26</v>
      </c>
      <c r="Z219" s="43">
        <f>ROUND((P219*T219*F219*O219/1000000),4)</f>
        <v>0.67930000000000001</v>
      </c>
      <c r="AA219" s="43">
        <f>ROUND((Q219*U219*F219*O219/1000000),4)</f>
        <v>0.22639999999999999</v>
      </c>
      <c r="AB219" s="43">
        <f>ROUND((R219*V219*F219*O219/1000000),4)</f>
        <v>0.22639999999999999</v>
      </c>
      <c r="AC219" s="44" t="s">
        <v>111</v>
      </c>
      <c r="AD219" s="45" t="s">
        <v>95</v>
      </c>
      <c r="AE219" s="30">
        <f>ROUND((((X219*E219)/1800)*0.8),4)</f>
        <v>0.12720000000000001</v>
      </c>
      <c r="AF219" s="30">
        <f>ROUND(((Z219+AA219+AB219)*0.8),4)</f>
        <v>0.90569999999999995</v>
      </c>
      <c r="AG219" s="50"/>
      <c r="AH219" s="50"/>
    </row>
    <row r="220" spans="1:36" ht="12.95" customHeight="1" x14ac:dyDescent="0.25">
      <c r="A220" s="36"/>
      <c r="B220" s="35" t="s">
        <v>182</v>
      </c>
      <c r="C220" s="36"/>
      <c r="D220" s="36"/>
      <c r="E220" s="36"/>
      <c r="F220" s="36"/>
      <c r="G220" s="36"/>
      <c r="H220" s="36"/>
      <c r="I220" s="36"/>
      <c r="J220" s="36"/>
      <c r="K220" s="36"/>
      <c r="L220" s="37"/>
      <c r="M220" s="37"/>
      <c r="N220" s="36"/>
      <c r="O220" s="36"/>
      <c r="P220" s="36"/>
      <c r="Q220" s="36"/>
      <c r="R220" s="36"/>
      <c r="S220" s="46"/>
      <c r="T220" s="47"/>
      <c r="U220" s="47"/>
      <c r="V220" s="47"/>
      <c r="W220" s="47"/>
      <c r="X220" s="47"/>
      <c r="Y220" s="47"/>
      <c r="Z220" s="47"/>
      <c r="AA220" s="47"/>
      <c r="AB220" s="47"/>
      <c r="AC220" s="44" t="s">
        <v>112</v>
      </c>
      <c r="AD220" s="45" t="s">
        <v>113</v>
      </c>
      <c r="AE220" s="30">
        <f>ROUND((((X219*E219)/1800)*0.13),4)</f>
        <v>2.07E-2</v>
      </c>
      <c r="AF220" s="30">
        <f>ROUND(((Z219+AA219+AB219)*0.13),4)</f>
        <v>0.1472</v>
      </c>
      <c r="AG220" s="50"/>
      <c r="AH220" s="50"/>
    </row>
    <row r="221" spans="1:36" ht="12.95" customHeight="1" x14ac:dyDescent="0.25">
      <c r="A221" s="36"/>
      <c r="C221" s="39"/>
      <c r="D221" s="39"/>
      <c r="E221" s="36"/>
      <c r="F221" s="36"/>
      <c r="G221" s="36"/>
      <c r="H221" s="36"/>
      <c r="I221" s="36"/>
      <c r="J221" s="36"/>
      <c r="K221" s="36"/>
      <c r="L221" s="40">
        <v>0.8</v>
      </c>
      <c r="M221" s="40">
        <v>0.98</v>
      </c>
      <c r="N221" s="36"/>
      <c r="O221" s="36"/>
      <c r="P221" s="36"/>
      <c r="Q221" s="36"/>
      <c r="R221" s="36"/>
      <c r="S221" s="48">
        <v>0.39</v>
      </c>
      <c r="T221" s="33">
        <f>ROUND((L221*I219+1.3*L221*K219+S221*H219),4)</f>
        <v>608.28</v>
      </c>
      <c r="U221" s="33">
        <f>ROUND((M221*0.9*I219+1.3*M221*0.9*K219+S221*H219),4)</f>
        <v>668.23019999999997</v>
      </c>
      <c r="V221" s="33">
        <f>ROUND((M221*I219+1.3*M221*K219+S221*H219),4)</f>
        <v>739.87800000000004</v>
      </c>
      <c r="W221" s="33">
        <f>ROUND((L221*J219+1.3*L221*N219+S221*G219),4)</f>
        <v>23.94</v>
      </c>
      <c r="X221" s="33">
        <f>ROUND((M221*0.9*J219+1.3*M221*0.9*N219+S221*G219),4)</f>
        <v>26.154</v>
      </c>
      <c r="Y221" s="33">
        <f>ROUND((M221*J219+1.3*M221*N219+S221*G219),4)</f>
        <v>28.8</v>
      </c>
      <c r="Z221" s="43">
        <f>ROUND((P219*T221*F219*O219/1000000),4)</f>
        <v>5.4699999999999999E-2</v>
      </c>
      <c r="AA221" s="43">
        <f>ROUND((Q219*U221*F219*O219/1000000),4)</f>
        <v>0.02</v>
      </c>
      <c r="AB221" s="43">
        <f>ROUND((R219*V221*F219*O219/1000000),4)</f>
        <v>2.2200000000000001E-2</v>
      </c>
      <c r="AC221" s="44" t="s">
        <v>167</v>
      </c>
      <c r="AD221" s="45" t="s">
        <v>115</v>
      </c>
      <c r="AE221" s="30">
        <f>ROUND((((X221*E219)/1800)),4)</f>
        <v>1.4500000000000001E-2</v>
      </c>
      <c r="AF221" s="30">
        <f>ROUND(((Z221+AA221+AB221)),5)</f>
        <v>9.69E-2</v>
      </c>
      <c r="AG221" s="50"/>
      <c r="AH221" s="50"/>
    </row>
    <row r="222" spans="1:36" ht="12.95" customHeight="1" x14ac:dyDescent="0.25">
      <c r="A222" s="36"/>
      <c r="C222" s="36"/>
      <c r="D222" s="36"/>
      <c r="E222" s="36"/>
      <c r="F222" s="36"/>
      <c r="G222" s="36"/>
      <c r="H222" s="36"/>
      <c r="I222" s="36"/>
      <c r="J222" s="36"/>
      <c r="K222" s="36"/>
      <c r="L222" s="40">
        <v>1.79</v>
      </c>
      <c r="M222" s="40">
        <v>2.15</v>
      </c>
      <c r="N222" s="36"/>
      <c r="O222" s="36"/>
      <c r="P222" s="36"/>
      <c r="Q222" s="36"/>
      <c r="R222" s="36"/>
      <c r="S222" s="49">
        <v>1.24</v>
      </c>
      <c r="T222" s="33">
        <f>ROUND((L222*I219+1.3*L222*K219+S222*H219),4)</f>
        <v>1383.069</v>
      </c>
      <c r="U222" s="33">
        <f>ROUND((M222*0.9*I219+1.3*M222*0.9*K219+S222*H219),4)</f>
        <v>1489.0785000000001</v>
      </c>
      <c r="V222" s="33">
        <f>ROUND((M222*I219+1.3*M222*K219+S222*H219),4)</f>
        <v>1646.2650000000001</v>
      </c>
      <c r="W222" s="33">
        <f>ROUND((L222*J219+1.3*L222*N219+S222*G219),4)</f>
        <v>55.77</v>
      </c>
      <c r="X222" s="33">
        <f>ROUND((M222*0.9*J219+1.3*M222*0.9*N219+S222*G219),4)</f>
        <v>59.685000000000002</v>
      </c>
      <c r="Y222" s="33">
        <f>ROUND((M222*J219+1.3*N219+S222*G219),4)</f>
        <v>50.54</v>
      </c>
      <c r="Z222" s="43">
        <f>ROUND((P219*T222*F219*O219/1000000),4)</f>
        <v>0.1245</v>
      </c>
      <c r="AA222" s="43">
        <f>ROUND((Q219*U222*F219*O219/1000000),4)</f>
        <v>4.4699999999999997E-2</v>
      </c>
      <c r="AB222" s="43">
        <f>ROUND((R219*V222*F219*O219/1000000),4)</f>
        <v>4.9399999999999999E-2</v>
      </c>
      <c r="AC222" s="44" t="s">
        <v>168</v>
      </c>
      <c r="AD222" s="45" t="s">
        <v>169</v>
      </c>
      <c r="AE222" s="30">
        <f>ROUND((((X222*E219)/1800)),4)</f>
        <v>3.32E-2</v>
      </c>
      <c r="AF222" s="30">
        <f>ROUND(((Z222+AA222+AB222)),4)</f>
        <v>0.21859999999999999</v>
      </c>
      <c r="AG222" s="50"/>
      <c r="AH222" s="50"/>
    </row>
    <row r="223" spans="1:36" ht="12.95" customHeight="1" x14ac:dyDescent="0.25">
      <c r="A223" s="36"/>
      <c r="B223" s="35"/>
      <c r="C223" s="36"/>
      <c r="D223" s="36"/>
      <c r="E223" s="36"/>
      <c r="F223" s="36"/>
      <c r="G223" s="36"/>
      <c r="H223" s="36"/>
      <c r="I223" s="36"/>
      <c r="J223" s="36"/>
      <c r="K223" s="36"/>
      <c r="L223" s="40">
        <v>1.1299999999999999</v>
      </c>
      <c r="M223" s="40">
        <v>1.7</v>
      </c>
      <c r="N223" s="36"/>
      <c r="O223" s="36"/>
      <c r="P223" s="36"/>
      <c r="Q223" s="36"/>
      <c r="R223" s="36"/>
      <c r="S223" s="49">
        <v>0.26</v>
      </c>
      <c r="T223" s="33">
        <f>ROUND((L223*I219+1.3*L223*K219+S223*H219),4)</f>
        <v>841.74300000000005</v>
      </c>
      <c r="U223" s="33">
        <f>ROUND((M223*0.9*I219+1.3*M223*0.9*K219+S223*H219),4)</f>
        <v>1134.183</v>
      </c>
      <c r="V223" s="33">
        <f>ROUND((M223*I219+1.3*M223*K219+S223*H219),4)</f>
        <v>1258.47</v>
      </c>
      <c r="W223" s="33">
        <f>ROUND((L223*J219+1.3*L223*N219+S223*G219),4)</f>
        <v>32.07</v>
      </c>
      <c r="X223" s="33">
        <f>ROUND((M223*0.9*J219+1.3*M223*0.9*N219+S223*G219),4)</f>
        <v>42.87</v>
      </c>
      <c r="Y223" s="33">
        <f>ROUND((M223*J219+1.3*M223*N219+S223*G219),4)</f>
        <v>47.46</v>
      </c>
      <c r="Z223" s="43">
        <f>ROUND((P219*T223*F219*O219/1000000),4)</f>
        <v>7.5800000000000006E-2</v>
      </c>
      <c r="AA223" s="43">
        <f>ROUND((Q219*U223*F219*O219/1000000),4)</f>
        <v>3.4000000000000002E-2</v>
      </c>
      <c r="AB223" s="43">
        <f>ROUND((R219*V223*F219*O219/1000000),4)</f>
        <v>3.78E-2</v>
      </c>
      <c r="AC223" s="44" t="s">
        <v>170</v>
      </c>
      <c r="AD223" s="45" t="s">
        <v>119</v>
      </c>
      <c r="AE223" s="30">
        <f>ROUND((((X223*E219)/1800)),4)</f>
        <v>2.3800000000000002E-2</v>
      </c>
      <c r="AF223" s="30">
        <f>ROUND(((Z223+AA223+AB223)),4)</f>
        <v>0.14760000000000001</v>
      </c>
      <c r="AG223" s="50"/>
      <c r="AH223" s="50"/>
    </row>
    <row r="224" spans="1:36" ht="12.95" customHeight="1" x14ac:dyDescent="0.25">
      <c r="A224" s="36"/>
      <c r="B224" s="41"/>
      <c r="C224" s="37"/>
      <c r="D224" s="37"/>
      <c r="E224" s="37"/>
      <c r="F224" s="37"/>
      <c r="G224" s="37"/>
      <c r="H224" s="37"/>
      <c r="I224" s="37"/>
      <c r="J224" s="37"/>
      <c r="K224" s="37"/>
      <c r="L224" s="40">
        <v>5.3</v>
      </c>
      <c r="M224" s="40">
        <v>6.47</v>
      </c>
      <c r="N224" s="37"/>
      <c r="O224" s="37"/>
      <c r="P224" s="37"/>
      <c r="Q224" s="37"/>
      <c r="R224" s="37"/>
      <c r="S224" s="49">
        <v>9.92</v>
      </c>
      <c r="T224" s="33">
        <f>ROUND((L224*I219+1.3*L224*K219+S224*H219),4)</f>
        <v>4470.03</v>
      </c>
      <c r="U224" s="33">
        <f>ROUND((M224*0.9*I219+1.3*M224*0.9*K219+S224*H219),4)</f>
        <v>4852.3953000000001</v>
      </c>
      <c r="V224" s="33">
        <f>ROUND((M224*I219+1.3*M224*K219+S224*H219),4)</f>
        <v>5325.4170000000004</v>
      </c>
      <c r="W224" s="33">
        <f>ROUND((L224*J219+1.3*L224*N219+S224*G219),4)</f>
        <v>202.62</v>
      </c>
      <c r="X224" s="33">
        <f>ROUND((M224*0.9*J219+1.3*M224*0.9*N219+S224*G219),4)</f>
        <v>216.74100000000001</v>
      </c>
      <c r="Y224" s="33">
        <f>ROUND((M224*J219+1.3*M224*N219+S224*G219),4)</f>
        <v>234.21</v>
      </c>
      <c r="Z224" s="43">
        <f>ROUND((P219*T224*F219*O219/1000000),4)</f>
        <v>0.40229999999999999</v>
      </c>
      <c r="AA224" s="43">
        <f>ROUND((Q219*U224*F219*O219/1000000),4)</f>
        <v>0.14560000000000001</v>
      </c>
      <c r="AB224" s="43">
        <f>ROUND((R219*V224*F219*O219/1000000),4)</f>
        <v>0.1598</v>
      </c>
      <c r="AC224" s="44" t="s">
        <v>171</v>
      </c>
      <c r="AD224" s="45" t="s">
        <v>104</v>
      </c>
      <c r="AE224" s="30">
        <f>ROUND((((X224*E219)/1800)),4)</f>
        <v>0.12039999999999999</v>
      </c>
      <c r="AF224" s="30">
        <f>ROUND(((Z224+AA224+AB224)),4)</f>
        <v>0.7077</v>
      </c>
      <c r="AG224" s="50"/>
      <c r="AH224" s="50"/>
    </row>
    <row r="225" spans="1:36" ht="12.95" customHeight="1" x14ac:dyDescent="0.25">
      <c r="A225" s="56"/>
      <c r="B225" s="31" t="s">
        <v>192</v>
      </c>
      <c r="C225" s="31">
        <v>6</v>
      </c>
      <c r="D225" s="32" t="s">
        <v>175</v>
      </c>
      <c r="E225" s="32">
        <v>1</v>
      </c>
      <c r="F225" s="32">
        <v>3</v>
      </c>
      <c r="G225" s="32">
        <v>6</v>
      </c>
      <c r="H225" s="32">
        <v>60</v>
      </c>
      <c r="I225" s="32">
        <f>(8-1-0.75*2)*60*F225-K225-8*0.12*60</f>
        <v>288.89999999999998</v>
      </c>
      <c r="J225" s="32">
        <v>14</v>
      </c>
      <c r="K225" s="32">
        <f>(8-1-0.75*2)*0.65*60*F225</f>
        <v>643.5</v>
      </c>
      <c r="L225" s="33">
        <v>6.47</v>
      </c>
      <c r="M225" s="33">
        <v>6.47</v>
      </c>
      <c r="N225" s="32">
        <v>10</v>
      </c>
      <c r="O225" s="32">
        <f>E225/F225</f>
        <v>0.33333333333333331</v>
      </c>
      <c r="P225" s="32">
        <v>90</v>
      </c>
      <c r="Q225" s="32">
        <v>30</v>
      </c>
      <c r="R225" s="42">
        <v>30</v>
      </c>
      <c r="S225" s="42">
        <v>1.27</v>
      </c>
      <c r="T225" s="33">
        <f>ROUND((L225*I225+1.3*L225*K225+S225*H225),4)</f>
        <v>7357.8615</v>
      </c>
      <c r="U225" s="33">
        <f>ROUND((M225*I225+1.3*M225*K225+S225*H225),4)</f>
        <v>7357.8615</v>
      </c>
      <c r="V225" s="33">
        <f>ROUND((M225*I225+1.3*M225*K225+S225*H225),4)</f>
        <v>7357.8615</v>
      </c>
      <c r="W225" s="33">
        <f>ROUND((L225*J225+1.3*L225*N225+S225*G225),4)</f>
        <v>182.31</v>
      </c>
      <c r="X225" s="33">
        <f>ROUND((M225*J225+1.3*M225*N225+S225*G225),4)</f>
        <v>182.31</v>
      </c>
      <c r="Y225" s="33">
        <f>ROUND((M225*J225+1.3*M225*N225+S225*G225),4)</f>
        <v>182.31</v>
      </c>
      <c r="Z225" s="43">
        <f>ROUND((P225*T225*F225*O225/1000000),4)</f>
        <v>0.66220000000000001</v>
      </c>
      <c r="AA225" s="43">
        <f>ROUND((Q225*U225*F225*O225/1000000),4)</f>
        <v>0.22070000000000001</v>
      </c>
      <c r="AB225" s="43">
        <f>ROUND((R225*V225*F225*O225/1000000),4)</f>
        <v>0.22070000000000001</v>
      </c>
      <c r="AC225" s="44" t="s">
        <v>111</v>
      </c>
      <c r="AD225" s="45" t="s">
        <v>95</v>
      </c>
      <c r="AE225" s="30">
        <f>ROUND((((X225*E225)/1800)*0.8),4)</f>
        <v>8.1000000000000003E-2</v>
      </c>
      <c r="AF225" s="30">
        <f>ROUND(((Z225+AA225+AB225)*0.8),4)</f>
        <v>0.88290000000000002</v>
      </c>
      <c r="AG225" s="50"/>
      <c r="AH225" s="50"/>
      <c r="AJ225" s="1"/>
    </row>
    <row r="226" spans="1:36" ht="12.95" customHeight="1" x14ac:dyDescent="0.25">
      <c r="A226" s="56"/>
      <c r="B226" s="35" t="s">
        <v>193</v>
      </c>
      <c r="C226" s="36"/>
      <c r="D226" s="36"/>
      <c r="E226" s="36"/>
      <c r="F226" s="36"/>
      <c r="G226" s="36"/>
      <c r="H226" s="36"/>
      <c r="I226" s="36"/>
      <c r="J226" s="36"/>
      <c r="K226" s="36"/>
      <c r="L226" s="37"/>
      <c r="M226" s="37"/>
      <c r="N226" s="36"/>
      <c r="O226" s="36"/>
      <c r="P226" s="36"/>
      <c r="Q226" s="36"/>
      <c r="R226" s="36"/>
      <c r="S226" s="46"/>
      <c r="T226" s="47"/>
      <c r="U226" s="47"/>
      <c r="V226" s="47"/>
      <c r="W226" s="47"/>
      <c r="X226" s="47"/>
      <c r="Y226" s="47"/>
      <c r="Z226" s="47"/>
      <c r="AA226" s="47"/>
      <c r="AB226" s="47"/>
      <c r="AC226" s="44" t="s">
        <v>112</v>
      </c>
      <c r="AD226" s="45" t="s">
        <v>113</v>
      </c>
      <c r="AE226" s="30">
        <f>ROUND((((X225*E225)/1800)*0.13),4)</f>
        <v>1.32E-2</v>
      </c>
      <c r="AF226" s="30">
        <f>ROUND(((Z225+AA225+AB225)*0.13),4)</f>
        <v>0.14349999999999999</v>
      </c>
      <c r="AG226" s="50"/>
      <c r="AH226" s="50"/>
      <c r="AJ226" s="1"/>
    </row>
    <row r="227" spans="1:36" ht="12.95" customHeight="1" x14ac:dyDescent="0.25">
      <c r="A227" s="56"/>
      <c r="B227" s="50"/>
      <c r="C227" s="39"/>
      <c r="D227" s="39"/>
      <c r="E227" s="36"/>
      <c r="F227" s="36"/>
      <c r="G227" s="36"/>
      <c r="H227" s="36"/>
      <c r="I227" s="36"/>
      <c r="J227" s="36"/>
      <c r="K227" s="36"/>
      <c r="L227" s="40">
        <v>0.51</v>
      </c>
      <c r="M227" s="40">
        <v>0.63</v>
      </c>
      <c r="N227" s="36"/>
      <c r="O227" s="36"/>
      <c r="P227" s="36"/>
      <c r="Q227" s="36"/>
      <c r="R227" s="36"/>
      <c r="S227" s="48">
        <v>0.25</v>
      </c>
      <c r="T227" s="33">
        <f>ROUND((L227*I225+1.3*L227*K225+S227*H225),4)</f>
        <v>588.97950000000003</v>
      </c>
      <c r="U227" s="33">
        <f>ROUND((M227*0.9*I225+1.3*M227*0.9*K225+S227*H225),4)</f>
        <v>653.13019999999995</v>
      </c>
      <c r="V227" s="33">
        <f>ROUND((M227*I225+1.3*M227*K225+S227*H225),4)</f>
        <v>724.0335</v>
      </c>
      <c r="W227" s="33">
        <f>ROUND((L227*J225+1.3*L227*N225+S227*G225),4)</f>
        <v>15.27</v>
      </c>
      <c r="X227" s="33">
        <f>ROUND((M227*0.9*J225+1.3*M227*0.9*N225+S227*G225),4)</f>
        <v>16.809000000000001</v>
      </c>
      <c r="Y227" s="33">
        <f>ROUND((M227*J225+1.3*M227*N225+S227*G225),4)</f>
        <v>18.510000000000002</v>
      </c>
      <c r="Z227" s="43">
        <f>ROUND((P225*T227*F225*O225/1000000),4)</f>
        <v>5.2999999999999999E-2</v>
      </c>
      <c r="AA227" s="43">
        <f>ROUND((Q225*U227*F225*O225/1000000),4)</f>
        <v>1.9599999999999999E-2</v>
      </c>
      <c r="AB227" s="43">
        <f>ROUND((R225*V227*F225*O225/1000000),4)</f>
        <v>2.1700000000000001E-2</v>
      </c>
      <c r="AC227" s="44" t="s">
        <v>167</v>
      </c>
      <c r="AD227" s="45" t="s">
        <v>115</v>
      </c>
      <c r="AE227" s="30">
        <f>ROUND((((X227*E225)/1800)),4)</f>
        <v>9.2999999999999992E-3</v>
      </c>
      <c r="AF227" s="30">
        <f>ROUND(((Z227+AA227+AB227)),5)</f>
        <v>9.4299999999999995E-2</v>
      </c>
      <c r="AG227" s="50"/>
      <c r="AH227" s="50"/>
      <c r="AJ227" s="1"/>
    </row>
    <row r="228" spans="1:36" ht="12.95" customHeight="1" x14ac:dyDescent="0.25">
      <c r="A228" s="56"/>
      <c r="B228" s="35"/>
      <c r="C228" s="36"/>
      <c r="D228" s="36"/>
      <c r="E228" s="36"/>
      <c r="F228" s="36"/>
      <c r="G228" s="36"/>
      <c r="H228" s="36"/>
      <c r="I228" s="36"/>
      <c r="J228" s="36"/>
      <c r="K228" s="36"/>
      <c r="L228" s="40">
        <v>1.1399999999999999</v>
      </c>
      <c r="M228" s="40">
        <v>1.37</v>
      </c>
      <c r="N228" s="36"/>
      <c r="O228" s="36"/>
      <c r="P228" s="36"/>
      <c r="Q228" s="36"/>
      <c r="R228" s="36"/>
      <c r="S228" s="49">
        <v>0.79</v>
      </c>
      <c r="T228" s="33">
        <f>ROUND((L228*I225+1.3*L228*K225+S228*H225),4)</f>
        <v>1330.413</v>
      </c>
      <c r="U228" s="33">
        <f>ROUND((M228*0.9*I225+1.3*M228*0.9*K225+S228*H225),4)</f>
        <v>1435.0799</v>
      </c>
      <c r="V228" s="33">
        <f>ROUND((M228*I225+1.3*M228*K225+S228*H225),4)</f>
        <v>1589.2665</v>
      </c>
      <c r="W228" s="33">
        <f>ROUND((L228*J225+1.3*L228*N225+S228*G225),4)</f>
        <v>35.520000000000003</v>
      </c>
      <c r="X228" s="33">
        <f>ROUND((M228*0.9*J225+1.3*M228*0.9*N225+S228*G225),4)</f>
        <v>38.030999999999999</v>
      </c>
      <c r="Y228" s="33">
        <f>ROUND((M228*J225+1.3*N225+S228*G225),4)</f>
        <v>36.92</v>
      </c>
      <c r="Z228" s="43">
        <f>ROUND((P225*T228*F225*O225/1000000),4)</f>
        <v>0.1197</v>
      </c>
      <c r="AA228" s="43">
        <f>ROUND((Q225*U228*F225*O225/1000000),4)</f>
        <v>4.3099999999999999E-2</v>
      </c>
      <c r="AB228" s="43">
        <f>ROUND((R225*V228*F225*O225/1000000),4)</f>
        <v>4.7699999999999999E-2</v>
      </c>
      <c r="AC228" s="44" t="s">
        <v>168</v>
      </c>
      <c r="AD228" s="45" t="s">
        <v>169</v>
      </c>
      <c r="AE228" s="30">
        <f>ROUND((((X228*E225)/1800)),4)</f>
        <v>2.1100000000000001E-2</v>
      </c>
      <c r="AF228" s="30">
        <f>ROUND(((Z228+AA228+AB228)),4)</f>
        <v>0.21049999999999999</v>
      </c>
      <c r="AG228" s="50"/>
      <c r="AH228" s="50"/>
      <c r="AJ228" s="1"/>
    </row>
    <row r="229" spans="1:36" ht="12.95" customHeight="1" x14ac:dyDescent="0.25">
      <c r="A229" s="56"/>
      <c r="B229" s="35"/>
      <c r="C229" s="36"/>
      <c r="D229" s="36"/>
      <c r="E229" s="36"/>
      <c r="F229" s="36"/>
      <c r="G229" s="36"/>
      <c r="H229" s="36"/>
      <c r="I229" s="36"/>
      <c r="J229" s="36"/>
      <c r="K229" s="36"/>
      <c r="L229" s="40">
        <v>0.72</v>
      </c>
      <c r="M229" s="40">
        <v>1.08</v>
      </c>
      <c r="N229" s="36"/>
      <c r="O229" s="36"/>
      <c r="P229" s="36"/>
      <c r="Q229" s="36"/>
      <c r="R229" s="36"/>
      <c r="S229" s="49">
        <v>0.17</v>
      </c>
      <c r="T229" s="33">
        <f>ROUND((L229*I225+1.3*L229*K225+S229*H225),4)</f>
        <v>820.524</v>
      </c>
      <c r="U229" s="33">
        <f>ROUND((M229*0.9*I225+1.3*M229*0.9*K225+S229*H225),4)</f>
        <v>1104.1374000000001</v>
      </c>
      <c r="V229" s="33">
        <f>ROUND((M229*I225+1.3*M229*K225+S229*H225),4)</f>
        <v>1225.6859999999999</v>
      </c>
      <c r="W229" s="33">
        <f>ROUND((L229*J225+1.3*L229*N225+S229*G225),4)</f>
        <v>20.46</v>
      </c>
      <c r="X229" s="33">
        <f>ROUND((M229*0.9*J225+1.3*M229*0.9*N225+S229*G225),4)</f>
        <v>27.263999999999999</v>
      </c>
      <c r="Y229" s="33">
        <f>ROUND((M229*J225+1.3*M229*N225+S229*G225),4)</f>
        <v>30.18</v>
      </c>
      <c r="Z229" s="43">
        <f>ROUND((P225*T229*F225*O225/1000000),4)</f>
        <v>7.3800000000000004E-2</v>
      </c>
      <c r="AA229" s="43">
        <f>ROUND((Q225*U229*F225*O225/1000000),4)</f>
        <v>3.3099999999999997E-2</v>
      </c>
      <c r="AB229" s="43">
        <f>ROUND((R225*V229*F225*O225/1000000),4)</f>
        <v>3.6799999999999999E-2</v>
      </c>
      <c r="AC229" s="44" t="s">
        <v>170</v>
      </c>
      <c r="AD229" s="45" t="s">
        <v>119</v>
      </c>
      <c r="AE229" s="30">
        <f>ROUND((((X229*E225)/1800)),4)</f>
        <v>1.5100000000000001E-2</v>
      </c>
      <c r="AF229" s="30">
        <f>ROUND(((Z229+AA229+AB229)),4)</f>
        <v>0.14369999999999999</v>
      </c>
      <c r="AG229" s="50"/>
      <c r="AH229" s="50"/>
      <c r="AJ229" s="1"/>
    </row>
    <row r="230" spans="1:36" ht="12.95" customHeight="1" x14ac:dyDescent="0.25">
      <c r="A230" s="56"/>
      <c r="B230" s="41"/>
      <c r="C230" s="37"/>
      <c r="D230" s="37"/>
      <c r="E230" s="37"/>
      <c r="F230" s="37"/>
      <c r="G230" s="37"/>
      <c r="H230" s="37"/>
      <c r="I230" s="37"/>
      <c r="J230" s="37"/>
      <c r="K230" s="37"/>
      <c r="L230" s="40">
        <v>3.37</v>
      </c>
      <c r="M230" s="40">
        <v>4.1100000000000003</v>
      </c>
      <c r="N230" s="37"/>
      <c r="O230" s="37"/>
      <c r="P230" s="37"/>
      <c r="Q230" s="37"/>
      <c r="R230" s="37"/>
      <c r="S230" s="49">
        <v>6.31</v>
      </c>
      <c r="T230" s="33">
        <f>ROUND((L230*I225+1.3*L230*K225+S230*H225),4)</f>
        <v>4171.3665000000001</v>
      </c>
      <c r="U230" s="33">
        <f>ROUND((M230*0.9*I225+1.3*M230*0.9*K225+S230*H225),4)</f>
        <v>4541.6396000000004</v>
      </c>
      <c r="V230" s="33">
        <f>ROUND((M230*I225+1.3*M230*K225+S230*H225),4)</f>
        <v>5004.1994999999997</v>
      </c>
      <c r="W230" s="33">
        <f>ROUND((L230*J225+1.3*L230*N225+S230*G225),4)</f>
        <v>128.85</v>
      </c>
      <c r="X230" s="33">
        <f>ROUND((M230*0.9*J225+1.3*M230*0.9*N225+S230*G225),4)</f>
        <v>137.733</v>
      </c>
      <c r="Y230" s="33">
        <f>ROUND((M230*J225+1.3*M230*N225+S230*G225),4)</f>
        <v>148.83000000000001</v>
      </c>
      <c r="Z230" s="43">
        <f>ROUND((P225*T230*F225*O225/1000000),4)</f>
        <v>0.37540000000000001</v>
      </c>
      <c r="AA230" s="43">
        <f>ROUND((Q225*U230*F225*O225/1000000),4)</f>
        <v>0.13619999999999999</v>
      </c>
      <c r="AB230" s="43">
        <f>ROUND((R225*V230*F225*O225/1000000),4)</f>
        <v>0.15010000000000001</v>
      </c>
      <c r="AC230" s="44" t="s">
        <v>171</v>
      </c>
      <c r="AD230" s="45" t="s">
        <v>104</v>
      </c>
      <c r="AE230" s="30">
        <f>ROUND((((X230*E225)/1800)),4)</f>
        <v>7.6499999999999999E-2</v>
      </c>
      <c r="AF230" s="30">
        <f>ROUND(((Z230+AA230+AB230)),4)</f>
        <v>0.66169999999999995</v>
      </c>
      <c r="AG230" s="50"/>
      <c r="AH230" s="50"/>
      <c r="AJ230" s="1"/>
    </row>
    <row r="231" spans="1:36" ht="12.95" customHeight="1" x14ac:dyDescent="0.25">
      <c r="A231" s="36"/>
      <c r="B231" s="31" t="s">
        <v>194</v>
      </c>
      <c r="C231" s="31">
        <v>5</v>
      </c>
      <c r="D231" s="32" t="s">
        <v>173</v>
      </c>
      <c r="E231" s="32">
        <v>1</v>
      </c>
      <c r="F231" s="32">
        <v>1</v>
      </c>
      <c r="G231" s="32">
        <v>6</v>
      </c>
      <c r="H231" s="32">
        <v>60</v>
      </c>
      <c r="I231" s="32">
        <f>(8-1-0.75*2)*60*F231-K231-8*0.12*60</f>
        <v>57.900000000000006</v>
      </c>
      <c r="J231" s="32">
        <v>14</v>
      </c>
      <c r="K231" s="32">
        <f>(8-1-0.75*2)*0.65*60*F231</f>
        <v>214.5</v>
      </c>
      <c r="L231" s="33">
        <v>4.01</v>
      </c>
      <c r="M231" s="33">
        <v>4.01</v>
      </c>
      <c r="N231" s="32">
        <v>10</v>
      </c>
      <c r="O231" s="32">
        <f>E231/F231</f>
        <v>1</v>
      </c>
      <c r="P231" s="32">
        <v>10</v>
      </c>
      <c r="Q231" s="32">
        <v>5</v>
      </c>
      <c r="R231" s="42">
        <v>0</v>
      </c>
      <c r="S231" s="42">
        <v>0.78</v>
      </c>
      <c r="T231" s="33">
        <f>ROUND((L231*I231+1.3*L231*K231+S231*H231),4)</f>
        <v>1397.1675</v>
      </c>
      <c r="U231" s="33">
        <f>ROUND((M231*I231+1.3*M231*K231+S231*H231),4)</f>
        <v>1397.1675</v>
      </c>
      <c r="V231" s="33">
        <f>ROUND((M231*I231+1.3*M231*K231+S231*H231),4)</f>
        <v>1397.1675</v>
      </c>
      <c r="W231" s="33">
        <f>ROUND((L231*J231+1.3*L231*N231+S231*G231),4)</f>
        <v>112.95</v>
      </c>
      <c r="X231" s="33">
        <f>ROUND((M231*J231+1.3*M231*N231+S231*G231),4)</f>
        <v>112.95</v>
      </c>
      <c r="Y231" s="33">
        <f>ROUND((M231*J231+1.3*M231*N231+S231*G231),4)</f>
        <v>112.95</v>
      </c>
      <c r="Z231" s="43">
        <f>ROUND((P231*T231*F231*O231/1000000),4)</f>
        <v>1.4E-2</v>
      </c>
      <c r="AA231" s="43">
        <f>ROUND((Q231*U231*F231*O231/1000000),4)</f>
        <v>7.0000000000000001E-3</v>
      </c>
      <c r="AB231" s="43">
        <f>ROUND((R231*V231*F231*O231/1000000),4)</f>
        <v>0</v>
      </c>
      <c r="AC231" s="44" t="s">
        <v>111</v>
      </c>
      <c r="AD231" s="45" t="s">
        <v>95</v>
      </c>
      <c r="AE231" s="30">
        <f>ROUND((((X231*E231)/1800)*0.8),4)</f>
        <v>5.0200000000000002E-2</v>
      </c>
      <c r="AF231" s="30">
        <f>ROUND(((Z231+AA231+AB231)*0.8),4)</f>
        <v>1.6799999999999999E-2</v>
      </c>
      <c r="AG231" s="50"/>
      <c r="AH231" s="50"/>
    </row>
    <row r="232" spans="1:36" ht="12.95" customHeight="1" x14ac:dyDescent="0.25">
      <c r="A232" s="36"/>
      <c r="B232" s="34" t="s">
        <v>195</v>
      </c>
      <c r="C232" s="35"/>
      <c r="D232" s="36"/>
      <c r="E232" s="36"/>
      <c r="F232" s="36"/>
      <c r="G232" s="36"/>
      <c r="H232" s="36"/>
      <c r="I232" s="36"/>
      <c r="J232" s="36"/>
      <c r="K232" s="36"/>
      <c r="L232" s="37"/>
      <c r="M232" s="37"/>
      <c r="N232" s="36"/>
      <c r="O232" s="36"/>
      <c r="P232" s="36"/>
      <c r="Q232" s="36"/>
      <c r="R232" s="36"/>
      <c r="S232" s="46"/>
      <c r="T232" s="47"/>
      <c r="U232" s="47"/>
      <c r="V232" s="47"/>
      <c r="W232" s="47"/>
      <c r="X232" s="47"/>
      <c r="Y232" s="47"/>
      <c r="Z232" s="47"/>
      <c r="AA232" s="47"/>
      <c r="AB232" s="47"/>
      <c r="AC232" s="44" t="s">
        <v>112</v>
      </c>
      <c r="AD232" s="45" t="s">
        <v>113</v>
      </c>
      <c r="AE232" s="30">
        <f>ROUND((((X231*E231)/1800)*0.13),4)</f>
        <v>8.2000000000000007E-3</v>
      </c>
      <c r="AF232" s="30">
        <f>ROUND(((Z231+AA231+AB231)*0.13),4)</f>
        <v>2.7000000000000001E-3</v>
      </c>
      <c r="AG232" s="50"/>
      <c r="AH232" s="50"/>
    </row>
    <row r="233" spans="1:36" ht="12.95" customHeight="1" x14ac:dyDescent="0.25">
      <c r="A233" s="36"/>
      <c r="B233" s="35"/>
      <c r="C233" s="38"/>
      <c r="D233" s="39"/>
      <c r="E233" s="36"/>
      <c r="F233" s="36"/>
      <c r="G233" s="36"/>
      <c r="H233" s="36"/>
      <c r="I233" s="36"/>
      <c r="J233" s="36"/>
      <c r="K233" s="36"/>
      <c r="L233" s="40">
        <v>0.31</v>
      </c>
      <c r="M233" s="40">
        <v>0.38</v>
      </c>
      <c r="N233" s="36"/>
      <c r="O233" s="36"/>
      <c r="P233" s="36"/>
      <c r="Q233" s="36"/>
      <c r="R233" s="36"/>
      <c r="S233" s="48">
        <v>0.16</v>
      </c>
      <c r="T233" s="33">
        <f>ROUND((L233*I231+1.3*L233*K231+S233*H231),4)</f>
        <v>113.99250000000001</v>
      </c>
      <c r="U233" s="33">
        <f>ROUND((M233*0.9*I231+1.3*M233*0.9*K231+S233*H231),4)</f>
        <v>124.7685</v>
      </c>
      <c r="V233" s="33">
        <f>ROUND((M233*I231+1.3*M233*K231+S233*H231),4)</f>
        <v>137.565</v>
      </c>
      <c r="W233" s="33">
        <f>ROUND((L233*J231+1.3*L233*N231+S233*G231),4)</f>
        <v>9.33</v>
      </c>
      <c r="X233" s="33">
        <f>ROUND((M233*0.9*J231+1.3*M233*0.9*N231+S233*G231),4)</f>
        <v>10.194000000000001</v>
      </c>
      <c r="Y233" s="33">
        <f>ROUND((M233*J231+1.3*M233*N231+S233*G231),4)</f>
        <v>11.22</v>
      </c>
      <c r="Z233" s="43">
        <f>ROUND((P231*T233*F231*O231/1000000),4)</f>
        <v>1.1000000000000001E-3</v>
      </c>
      <c r="AA233" s="43">
        <f>ROUND((Q231*U233*F231*O231/1000000),4)</f>
        <v>5.9999999999999995E-4</v>
      </c>
      <c r="AB233" s="43">
        <f>ROUND((R231*V233*F231*O231/1000000),4)</f>
        <v>0</v>
      </c>
      <c r="AC233" s="44" t="s">
        <v>167</v>
      </c>
      <c r="AD233" s="45" t="s">
        <v>115</v>
      </c>
      <c r="AE233" s="30">
        <f>ROUND((((X233*E231)/1800)),4)</f>
        <v>5.7000000000000002E-3</v>
      </c>
      <c r="AF233" s="30">
        <f>ROUND(((Z233+AA233+AB233)),5)</f>
        <v>1.6999999999999999E-3</v>
      </c>
      <c r="AG233" s="50"/>
      <c r="AH233" s="50"/>
    </row>
    <row r="234" spans="1:36" ht="12.95" customHeight="1" x14ac:dyDescent="0.25">
      <c r="A234" s="36"/>
      <c r="B234" s="35"/>
      <c r="C234" s="35"/>
      <c r="D234" s="36"/>
      <c r="E234" s="36"/>
      <c r="F234" s="36"/>
      <c r="G234" s="36"/>
      <c r="H234" s="36"/>
      <c r="I234" s="36"/>
      <c r="J234" s="36"/>
      <c r="K234" s="36"/>
      <c r="L234" s="40">
        <v>0.71</v>
      </c>
      <c r="M234" s="40">
        <v>0.85</v>
      </c>
      <c r="N234" s="36"/>
      <c r="O234" s="36"/>
      <c r="P234" s="36"/>
      <c r="Q234" s="36"/>
      <c r="R234" s="36"/>
      <c r="S234" s="49">
        <v>0.49</v>
      </c>
      <c r="T234" s="33">
        <f>ROUND((L234*I231+1.3*L234*K231+S234*H231),4)</f>
        <v>268.49250000000001</v>
      </c>
      <c r="U234" s="33">
        <f>ROUND((M234*0.9*I231+1.3*M234*0.9*K231+S234*H231),4)</f>
        <v>287.0138</v>
      </c>
      <c r="V234" s="33">
        <f>ROUND((M234*I231+1.3*M234*K231+S234*H231),4)</f>
        <v>315.63749999999999</v>
      </c>
      <c r="W234" s="33">
        <f>ROUND((L234*J231+1.3*L234*N231+S234*G231),4)</f>
        <v>22.11</v>
      </c>
      <c r="X234" s="33">
        <f>ROUND((M234*0.9*J231+1.3*M234*0.9*N231+S234*G231),4)</f>
        <v>23.594999999999999</v>
      </c>
      <c r="Y234" s="33">
        <f>ROUND((M234*J231+1.3*N231+S234*G231),4)</f>
        <v>27.84</v>
      </c>
      <c r="Z234" s="43">
        <f>ROUND((P231*T234*F231*O231/1000000),4)</f>
        <v>2.7000000000000001E-3</v>
      </c>
      <c r="AA234" s="43">
        <f>ROUND((Q231*U234*F231*O231/1000000),4)</f>
        <v>1.4E-3</v>
      </c>
      <c r="AB234" s="43">
        <f>ROUND((R231*V234*F231*O231/1000000),4)</f>
        <v>0</v>
      </c>
      <c r="AC234" s="44" t="s">
        <v>168</v>
      </c>
      <c r="AD234" s="45" t="s">
        <v>169</v>
      </c>
      <c r="AE234" s="30">
        <f>ROUND((((X234*E231)/1800)),4)</f>
        <v>1.3100000000000001E-2</v>
      </c>
      <c r="AF234" s="30">
        <f>ROUND(((Z234+AA234+AB234)),4)</f>
        <v>4.1000000000000003E-3</v>
      </c>
      <c r="AG234" s="50"/>
      <c r="AH234" s="50"/>
    </row>
    <row r="235" spans="1:36" ht="12.95" customHeight="1" x14ac:dyDescent="0.25">
      <c r="A235" s="36"/>
      <c r="B235" s="35"/>
      <c r="C235" s="35"/>
      <c r="D235" s="36"/>
      <c r="E235" s="36"/>
      <c r="F235" s="36"/>
      <c r="G235" s="36"/>
      <c r="H235" s="36"/>
      <c r="I235" s="36"/>
      <c r="J235" s="36"/>
      <c r="K235" s="36"/>
      <c r="L235" s="40">
        <v>0.45</v>
      </c>
      <c r="M235" s="40">
        <v>0.67</v>
      </c>
      <c r="N235" s="36"/>
      <c r="O235" s="36"/>
      <c r="P235" s="36"/>
      <c r="Q235" s="36"/>
      <c r="R235" s="36"/>
      <c r="S235" s="49">
        <v>0.1</v>
      </c>
      <c r="T235" s="33">
        <f>ROUND((L235*I231+1.3*L235*K231+S235*H231),4)</f>
        <v>157.53749999999999</v>
      </c>
      <c r="U235" s="33">
        <f>ROUND((M235*0.9*I231+1.3*M235*0.9*K231+S235*H231),4)</f>
        <v>209.06030000000001</v>
      </c>
      <c r="V235" s="33">
        <f>ROUND((M235*I231+1.3*M235*K231+S235*H231),4)</f>
        <v>231.6225</v>
      </c>
      <c r="W235" s="33">
        <f>ROUND((L235*J231+1.3*L235*N231+S235*G231),4)</f>
        <v>12.75</v>
      </c>
      <c r="X235" s="33">
        <f>ROUND((M235*0.9*J231+1.3*M235*0.9*N231+S235*G231),4)</f>
        <v>16.881</v>
      </c>
      <c r="Y235" s="33">
        <f>ROUND((M235*J231+1.3*M235*N231+S235*G231),4)</f>
        <v>18.690000000000001</v>
      </c>
      <c r="Z235" s="43">
        <f>ROUND((P231*T235*F231*O231/1000000),4)</f>
        <v>1.6000000000000001E-3</v>
      </c>
      <c r="AA235" s="43">
        <f>ROUND((Q231*U235*F231*O231/1000000),4)</f>
        <v>1E-3</v>
      </c>
      <c r="AB235" s="43">
        <f>ROUND((R231*V235*F231*O231/1000000),4)</f>
        <v>0</v>
      </c>
      <c r="AC235" s="44" t="s">
        <v>170</v>
      </c>
      <c r="AD235" s="45" t="s">
        <v>119</v>
      </c>
      <c r="AE235" s="30">
        <f>ROUND((((X235*E231)/1800)),4)</f>
        <v>9.4000000000000004E-3</v>
      </c>
      <c r="AF235" s="30">
        <f>ROUND(((Z235+AA235+AB235)),4)</f>
        <v>2.5999999999999999E-3</v>
      </c>
      <c r="AG235" s="50"/>
      <c r="AH235" s="50"/>
    </row>
    <row r="236" spans="1:36" ht="12.95" customHeight="1" x14ac:dyDescent="0.25">
      <c r="A236" s="36"/>
      <c r="B236" s="41"/>
      <c r="C236" s="41"/>
      <c r="D236" s="37"/>
      <c r="E236" s="37"/>
      <c r="F236" s="37"/>
      <c r="G236" s="37"/>
      <c r="H236" s="37"/>
      <c r="I236" s="37"/>
      <c r="J236" s="37"/>
      <c r="K236" s="37"/>
      <c r="L236" s="40">
        <v>2.09</v>
      </c>
      <c r="M236" s="40">
        <v>2.5499999999999998</v>
      </c>
      <c r="N236" s="37"/>
      <c r="O236" s="37"/>
      <c r="P236" s="37"/>
      <c r="Q236" s="37"/>
      <c r="R236" s="37"/>
      <c r="S236" s="49">
        <v>3.91</v>
      </c>
      <c r="T236" s="33">
        <f>ROUND((L236*I231+1.3*L236*K231+S236*H231),4)</f>
        <v>938.40750000000003</v>
      </c>
      <c r="U236" s="33">
        <f>ROUND((M236*0.9*I231+1.3*M236*0.9*K231+S236*H231),4)</f>
        <v>1007.4413</v>
      </c>
      <c r="V236" s="33">
        <f>ROUND((M236*I231+1.3*M236*K231+S236*H231),4)</f>
        <v>1093.3125</v>
      </c>
      <c r="W236" s="33">
        <f>ROUND((L236*J231+1.3*L236*N231+S236*G231),4)</f>
        <v>79.89</v>
      </c>
      <c r="X236" s="33">
        <f>ROUND((M236*0.9*J231+1.3*M236*0.9*N231+S236*G231),4)</f>
        <v>85.424999999999997</v>
      </c>
      <c r="Y236" s="33">
        <f>ROUND((M236*J231+1.3*M236*N231+S236*G231),4)</f>
        <v>92.31</v>
      </c>
      <c r="Z236" s="43">
        <f>ROUND((P231*T236*F231*O231/1000000),4)</f>
        <v>9.4000000000000004E-3</v>
      </c>
      <c r="AA236" s="43">
        <f>ROUND((Q231*U236*F231*O231/1000000),4)</f>
        <v>5.0000000000000001E-3</v>
      </c>
      <c r="AB236" s="43">
        <f>ROUND((R231*V236*F231*O231/1000000),4)</f>
        <v>0</v>
      </c>
      <c r="AC236" s="44" t="s">
        <v>171</v>
      </c>
      <c r="AD236" s="45" t="s">
        <v>104</v>
      </c>
      <c r="AE236" s="30">
        <f>ROUND((((X236*E231)/1800)),4)</f>
        <v>4.7500000000000001E-2</v>
      </c>
      <c r="AF236" s="30">
        <f>ROUND(((Z236+AA236+AB236)),4)</f>
        <v>1.44E-2</v>
      </c>
      <c r="AG236" s="50"/>
      <c r="AH236" s="50"/>
    </row>
    <row r="237" spans="1:36" ht="12.95" customHeight="1" x14ac:dyDescent="0.25">
      <c r="A237" s="56"/>
      <c r="B237" s="31" t="s">
        <v>196</v>
      </c>
      <c r="C237" s="31">
        <v>6</v>
      </c>
      <c r="D237" s="32" t="s">
        <v>175</v>
      </c>
      <c r="E237" s="32">
        <v>1</v>
      </c>
      <c r="F237" s="32">
        <v>1</v>
      </c>
      <c r="G237" s="32">
        <v>6</v>
      </c>
      <c r="H237" s="32">
        <v>60</v>
      </c>
      <c r="I237" s="32">
        <f>(8-1-0.75*2)*60*F237-K237-8*0.12*60</f>
        <v>57.900000000000006</v>
      </c>
      <c r="J237" s="32">
        <v>14</v>
      </c>
      <c r="K237" s="32">
        <f>(8-1-0.75*2)*0.65*60*F237</f>
        <v>214.5</v>
      </c>
      <c r="L237" s="33">
        <v>6.47</v>
      </c>
      <c r="M237" s="33">
        <v>6.47</v>
      </c>
      <c r="N237" s="32">
        <v>10</v>
      </c>
      <c r="O237" s="32">
        <f>E237/F237</f>
        <v>1</v>
      </c>
      <c r="P237" s="32">
        <v>10</v>
      </c>
      <c r="Q237" s="32">
        <v>50</v>
      </c>
      <c r="R237" s="42">
        <v>0</v>
      </c>
      <c r="S237" s="42">
        <v>1.27</v>
      </c>
      <c r="T237" s="33">
        <f>ROUND((L237*I237+1.3*L237*K237+S237*H237),4)</f>
        <v>2254.9724999999999</v>
      </c>
      <c r="U237" s="33">
        <f>ROUND((M237*I237+1.3*M237*K237+S237*H237),4)</f>
        <v>2254.9724999999999</v>
      </c>
      <c r="V237" s="33">
        <f>ROUND((M237*I237+1.3*M237*K237+S237*H237),4)</f>
        <v>2254.9724999999999</v>
      </c>
      <c r="W237" s="33">
        <f>ROUND((L237*J237+1.3*L237*N237+S237*G237),4)</f>
        <v>182.31</v>
      </c>
      <c r="X237" s="33">
        <f>ROUND((M237*J237+1.3*M237*N237+S237*G237),4)</f>
        <v>182.31</v>
      </c>
      <c r="Y237" s="33">
        <f>ROUND((M237*J237+1.3*M237*N237+S237*G237),4)</f>
        <v>182.31</v>
      </c>
      <c r="Z237" s="43">
        <f>ROUND((P237*T237*F237*O237/1000000),4)</f>
        <v>2.2499999999999999E-2</v>
      </c>
      <c r="AA237" s="43">
        <f>ROUND((Q237*U237*F237*O237/1000000),4)</f>
        <v>0.11269999999999999</v>
      </c>
      <c r="AB237" s="43">
        <f>ROUND((R237*V237*F237*O237/1000000),4)</f>
        <v>0</v>
      </c>
      <c r="AC237" s="44" t="s">
        <v>111</v>
      </c>
      <c r="AD237" s="45" t="s">
        <v>95</v>
      </c>
      <c r="AE237" s="30">
        <f>ROUND((((X237*E237)/1800)*0.8),4)</f>
        <v>8.1000000000000003E-2</v>
      </c>
      <c r="AF237" s="30">
        <f>ROUND(((Z237+AA237+AB237)*0.8),4)</f>
        <v>0.1082</v>
      </c>
      <c r="AG237" s="50"/>
      <c r="AH237" s="50"/>
      <c r="AI237" s="1"/>
      <c r="AJ237" s="1"/>
    </row>
    <row r="238" spans="1:36" ht="12.95" customHeight="1" x14ac:dyDescent="0.25">
      <c r="A238" s="56"/>
      <c r="B238" s="35" t="s">
        <v>197</v>
      </c>
      <c r="C238" s="36"/>
      <c r="D238" s="36"/>
      <c r="E238" s="36"/>
      <c r="F238" s="36"/>
      <c r="G238" s="36"/>
      <c r="H238" s="36"/>
      <c r="I238" s="36"/>
      <c r="J238" s="36"/>
      <c r="K238" s="36"/>
      <c r="L238" s="37"/>
      <c r="M238" s="37"/>
      <c r="N238" s="36"/>
      <c r="O238" s="36"/>
      <c r="P238" s="36"/>
      <c r="Q238" s="36"/>
      <c r="R238" s="36"/>
      <c r="S238" s="46"/>
      <c r="T238" s="47"/>
      <c r="U238" s="47"/>
      <c r="V238" s="47"/>
      <c r="W238" s="47"/>
      <c r="X238" s="47"/>
      <c r="Y238" s="47"/>
      <c r="Z238" s="47"/>
      <c r="AA238" s="47"/>
      <c r="AB238" s="47"/>
      <c r="AC238" s="44" t="s">
        <v>112</v>
      </c>
      <c r="AD238" s="45" t="s">
        <v>113</v>
      </c>
      <c r="AE238" s="30">
        <f>ROUND((((X237*E237)/1800)*0.13),4)</f>
        <v>1.32E-2</v>
      </c>
      <c r="AF238" s="30">
        <f>ROUND(((Z237+AA237+AB237)*0.13),4)</f>
        <v>1.7600000000000001E-2</v>
      </c>
      <c r="AG238" s="50"/>
      <c r="AH238" s="50"/>
      <c r="AI238" s="1"/>
      <c r="AJ238" s="1"/>
    </row>
    <row r="239" spans="1:36" ht="12.95" customHeight="1" x14ac:dyDescent="0.25">
      <c r="A239" s="56"/>
      <c r="B239" s="50"/>
      <c r="C239" s="39"/>
      <c r="D239" s="39"/>
      <c r="E239" s="36"/>
      <c r="F239" s="36"/>
      <c r="G239" s="36"/>
      <c r="H239" s="36"/>
      <c r="I239" s="36"/>
      <c r="J239" s="36"/>
      <c r="K239" s="36"/>
      <c r="L239" s="40">
        <v>0.51</v>
      </c>
      <c r="M239" s="40">
        <v>0.63</v>
      </c>
      <c r="N239" s="36"/>
      <c r="O239" s="36"/>
      <c r="P239" s="36"/>
      <c r="Q239" s="36"/>
      <c r="R239" s="36"/>
      <c r="S239" s="48">
        <v>0.25</v>
      </c>
      <c r="T239" s="33">
        <f>ROUND((L239*I237+1.3*L239*K237+S239*H237),4)</f>
        <v>186.74250000000001</v>
      </c>
      <c r="U239" s="33">
        <f>ROUND((M239*0.9*I237+1.3*M239*0.9*K237+S239*H237),4)</f>
        <v>205.93729999999999</v>
      </c>
      <c r="V239" s="33">
        <f>ROUND((M239*I237+1.3*M239*K237+S239*H237),4)</f>
        <v>227.1525</v>
      </c>
      <c r="W239" s="33">
        <f>ROUND((L239*J237+1.3*L239*N237+S239*G237),4)</f>
        <v>15.27</v>
      </c>
      <c r="X239" s="33">
        <f>ROUND((M239*0.9*J237+1.3*M239*0.9*N237+S239*G237),4)</f>
        <v>16.809000000000001</v>
      </c>
      <c r="Y239" s="33">
        <f>ROUND((M239*J237+1.3*M239*N237+S239*G237),4)</f>
        <v>18.510000000000002</v>
      </c>
      <c r="Z239" s="43">
        <f>ROUND((P237*T239*F237*O237/1000000),4)</f>
        <v>1.9E-3</v>
      </c>
      <c r="AA239" s="43">
        <f>ROUND((Q237*U239*F237*O237/1000000),4)</f>
        <v>1.03E-2</v>
      </c>
      <c r="AB239" s="43">
        <f>ROUND((R237*V239*F237*O237/1000000),4)</f>
        <v>0</v>
      </c>
      <c r="AC239" s="44" t="s">
        <v>167</v>
      </c>
      <c r="AD239" s="45" t="s">
        <v>115</v>
      </c>
      <c r="AE239" s="30">
        <f>ROUND((((X239*E237)/1800)),4)</f>
        <v>9.2999999999999992E-3</v>
      </c>
      <c r="AF239" s="30">
        <f>ROUND(((Z239+AA239+AB239)),5)</f>
        <v>1.2200000000000001E-2</v>
      </c>
      <c r="AG239" s="50"/>
      <c r="AH239" s="50"/>
      <c r="AI239" s="1"/>
      <c r="AJ239" s="1"/>
    </row>
    <row r="240" spans="1:36" ht="12.95" customHeight="1" x14ac:dyDescent="0.25">
      <c r="A240" s="56"/>
      <c r="B240" s="35"/>
      <c r="C240" s="36"/>
      <c r="D240" s="36"/>
      <c r="E240" s="36"/>
      <c r="F240" s="36"/>
      <c r="G240" s="36"/>
      <c r="H240" s="36"/>
      <c r="I240" s="36"/>
      <c r="J240" s="36"/>
      <c r="K240" s="36"/>
      <c r="L240" s="40">
        <v>1.1399999999999999</v>
      </c>
      <c r="M240" s="40">
        <v>1.37</v>
      </c>
      <c r="N240" s="36"/>
      <c r="O240" s="36"/>
      <c r="P240" s="36"/>
      <c r="Q240" s="36"/>
      <c r="R240" s="36"/>
      <c r="S240" s="49">
        <v>0.79</v>
      </c>
      <c r="T240" s="33">
        <f>ROUND((L240*I237+1.3*L240*K237+S240*H237),4)</f>
        <v>431.29500000000002</v>
      </c>
      <c r="U240" s="33">
        <f>ROUND((M240*0.9*I237+1.3*M240*0.9*K237+S240*H237),4)</f>
        <v>462.61279999999999</v>
      </c>
      <c r="V240" s="33">
        <f>ROUND((M240*I237+1.3*M240*K237+S240*H237),4)</f>
        <v>508.7475</v>
      </c>
      <c r="W240" s="33">
        <f>ROUND((L240*J237+1.3*L240*N237+S240*G237),4)</f>
        <v>35.520000000000003</v>
      </c>
      <c r="X240" s="33">
        <f>ROUND((M240*0.9*J237+1.3*M240*0.9*N237+S240*G237),4)</f>
        <v>38.030999999999999</v>
      </c>
      <c r="Y240" s="33">
        <f>ROUND((M240*J237+1.3*N237+S240*G237),4)</f>
        <v>36.92</v>
      </c>
      <c r="Z240" s="43">
        <f>ROUND((P237*T240*F237*O237/1000000),4)</f>
        <v>4.3E-3</v>
      </c>
      <c r="AA240" s="43">
        <f>ROUND((Q237*U240*F237*O237/1000000),4)</f>
        <v>2.3099999999999999E-2</v>
      </c>
      <c r="AB240" s="43">
        <f>ROUND((R237*V240*F237*O237/1000000),4)</f>
        <v>0</v>
      </c>
      <c r="AC240" s="44" t="s">
        <v>168</v>
      </c>
      <c r="AD240" s="45" t="s">
        <v>169</v>
      </c>
      <c r="AE240" s="30">
        <f>ROUND((((X240*E237)/1800)),4)</f>
        <v>2.1100000000000001E-2</v>
      </c>
      <c r="AF240" s="30">
        <f>ROUND(((Z240+AA240+AB240)),4)</f>
        <v>2.7400000000000001E-2</v>
      </c>
      <c r="AG240" s="50"/>
      <c r="AH240" s="50"/>
      <c r="AI240" s="1"/>
      <c r="AJ240" s="1"/>
    </row>
    <row r="241" spans="1:36" ht="12.95" customHeight="1" x14ac:dyDescent="0.25">
      <c r="A241" s="56"/>
      <c r="B241" s="35"/>
      <c r="C241" s="36"/>
      <c r="D241" s="36"/>
      <c r="E241" s="36"/>
      <c r="F241" s="36"/>
      <c r="G241" s="36"/>
      <c r="H241" s="36"/>
      <c r="I241" s="36"/>
      <c r="J241" s="36"/>
      <c r="K241" s="36"/>
      <c r="L241" s="40">
        <v>0.72</v>
      </c>
      <c r="M241" s="40">
        <v>1.08</v>
      </c>
      <c r="N241" s="36"/>
      <c r="O241" s="36"/>
      <c r="P241" s="36"/>
      <c r="Q241" s="36"/>
      <c r="R241" s="36"/>
      <c r="S241" s="49">
        <v>0.17</v>
      </c>
      <c r="T241" s="33">
        <f>ROUND((L241*I237+1.3*L241*K237+S241*H237),4)</f>
        <v>252.66</v>
      </c>
      <c r="U241" s="33">
        <f>ROUND((M241*0.9*I237+1.3*M241*0.9*K237+S241*H237),4)</f>
        <v>337.52100000000002</v>
      </c>
      <c r="V241" s="33">
        <f>ROUND((M241*I237+1.3*M241*K237+S241*H237),4)</f>
        <v>373.89</v>
      </c>
      <c r="W241" s="33">
        <f>ROUND((L241*J237+1.3*L241*N237+S241*G237),4)</f>
        <v>20.46</v>
      </c>
      <c r="X241" s="33">
        <f>ROUND((M241*0.9*J237+1.3*M241*0.9*N237+S241*G237),4)</f>
        <v>27.263999999999999</v>
      </c>
      <c r="Y241" s="33">
        <f>ROUND((M241*J237+1.3*M241*N237+S241*G237),4)</f>
        <v>30.18</v>
      </c>
      <c r="Z241" s="43">
        <f>ROUND((P237*T241*F237*O237/1000000),4)</f>
        <v>2.5000000000000001E-3</v>
      </c>
      <c r="AA241" s="43">
        <f>ROUND((Q237*U241*F237*O237/1000000),4)</f>
        <v>1.6899999999999998E-2</v>
      </c>
      <c r="AB241" s="43">
        <f>ROUND((R237*V241*F237*O237/1000000),4)</f>
        <v>0</v>
      </c>
      <c r="AC241" s="44" t="s">
        <v>170</v>
      </c>
      <c r="AD241" s="45" t="s">
        <v>119</v>
      </c>
      <c r="AE241" s="30">
        <f>ROUND((((X241*E237)/1800)),4)</f>
        <v>1.5100000000000001E-2</v>
      </c>
      <c r="AF241" s="30">
        <f>ROUND(((Z241+AA241+AB241)),4)</f>
        <v>1.9400000000000001E-2</v>
      </c>
      <c r="AG241" s="50"/>
      <c r="AH241" s="50"/>
      <c r="AI241" s="1"/>
      <c r="AJ241" s="1"/>
    </row>
    <row r="242" spans="1:36" ht="12.95" customHeight="1" x14ac:dyDescent="0.25">
      <c r="A242" s="56"/>
      <c r="B242" s="41"/>
      <c r="C242" s="37"/>
      <c r="D242" s="37"/>
      <c r="E242" s="37"/>
      <c r="F242" s="37"/>
      <c r="G242" s="37"/>
      <c r="H242" s="37"/>
      <c r="I242" s="37"/>
      <c r="J242" s="37"/>
      <c r="K242" s="37"/>
      <c r="L242" s="40">
        <v>3.37</v>
      </c>
      <c r="M242" s="40">
        <v>4.1100000000000003</v>
      </c>
      <c r="N242" s="37"/>
      <c r="O242" s="37"/>
      <c r="P242" s="37"/>
      <c r="Q242" s="37"/>
      <c r="R242" s="37"/>
      <c r="S242" s="49">
        <v>6.31</v>
      </c>
      <c r="T242" s="33">
        <f>ROUND((L242*I237+1.3*L242*K237+S242*H237),4)</f>
        <v>1513.4475</v>
      </c>
      <c r="U242" s="33">
        <f>ROUND((M242*0.9*I237+1.3*M242*0.9*K237+S242*H237),4)</f>
        <v>1624.2383</v>
      </c>
      <c r="V242" s="33">
        <f>ROUND((M242*I237+1.3*M242*K237+S242*H237),4)</f>
        <v>1762.6424999999999</v>
      </c>
      <c r="W242" s="33">
        <f>ROUND((L242*J237+1.3*L242*N237+S242*G237),4)</f>
        <v>128.85</v>
      </c>
      <c r="X242" s="33">
        <f>ROUND((M242*0.9*J237+1.3*M242*0.9*N237+S242*G237),4)</f>
        <v>137.733</v>
      </c>
      <c r="Y242" s="33">
        <f>ROUND((M242*J237+1.3*M242*N237+S242*G237),4)</f>
        <v>148.83000000000001</v>
      </c>
      <c r="Z242" s="43">
        <f>ROUND((P237*T242*F237*O237/1000000),4)</f>
        <v>1.5100000000000001E-2</v>
      </c>
      <c r="AA242" s="43">
        <f>ROUND((Q237*U242*F237*O237/1000000),4)</f>
        <v>8.1199999999999994E-2</v>
      </c>
      <c r="AB242" s="43">
        <f>ROUND((R237*V242*F237*O237/1000000),4)</f>
        <v>0</v>
      </c>
      <c r="AC242" s="44" t="s">
        <v>171</v>
      </c>
      <c r="AD242" s="45" t="s">
        <v>104</v>
      </c>
      <c r="AE242" s="30">
        <f>ROUND((((X242*E237)/1800)),4)</f>
        <v>7.6499999999999999E-2</v>
      </c>
      <c r="AF242" s="30">
        <f>ROUND(((Z242+AA242+AB242)),4)</f>
        <v>9.6299999999999997E-2</v>
      </c>
      <c r="AG242" s="50"/>
      <c r="AH242" s="50"/>
      <c r="AI242" s="1"/>
      <c r="AJ242" s="1"/>
    </row>
    <row r="243" spans="1:36" ht="12.95" customHeight="1" x14ac:dyDescent="0.25">
      <c r="A243" s="36"/>
      <c r="B243" s="50" t="s">
        <v>198</v>
      </c>
      <c r="C243" s="31">
        <v>3</v>
      </c>
      <c r="D243" s="32" t="s">
        <v>187</v>
      </c>
      <c r="E243" s="32">
        <v>1</v>
      </c>
      <c r="F243" s="32">
        <v>1</v>
      </c>
      <c r="G243" s="32">
        <v>6</v>
      </c>
      <c r="H243" s="32">
        <v>60</v>
      </c>
      <c r="I243" s="32">
        <f>(8-1-0.75*2)*60*F243-K243-8*0.12*60</f>
        <v>57.900000000000006</v>
      </c>
      <c r="J243" s="32">
        <v>14</v>
      </c>
      <c r="K243" s="32">
        <f>(8-1-0.75*2)*0.65*60*F243</f>
        <v>214.5</v>
      </c>
      <c r="L243" s="33">
        <v>1.49</v>
      </c>
      <c r="M243" s="33">
        <v>1.49</v>
      </c>
      <c r="N243" s="32">
        <v>10</v>
      </c>
      <c r="O243" s="32">
        <f>E243/F243</f>
        <v>1</v>
      </c>
      <c r="P243" s="32">
        <v>180</v>
      </c>
      <c r="Q243" s="32">
        <v>90</v>
      </c>
      <c r="R243" s="42">
        <v>90</v>
      </c>
      <c r="S243" s="42">
        <v>0.28999999999999998</v>
      </c>
      <c r="T243" s="33">
        <f>ROUND((L243*I243+1.3*L243*K243+S243*H243),4)</f>
        <v>519.15750000000003</v>
      </c>
      <c r="U243" s="33">
        <f>ROUND((M243*I243+1.3*M243*K243+S243*H243),4)</f>
        <v>519.15750000000003</v>
      </c>
      <c r="V243" s="33">
        <f>ROUND((M243*I243+1.3*M243*K243+S243*H243),4)</f>
        <v>519.15750000000003</v>
      </c>
      <c r="W243" s="33">
        <f>ROUND((L243*J243+1.3*L243*N243+S243*G243),4)</f>
        <v>41.97</v>
      </c>
      <c r="X243" s="33">
        <f>ROUND((M243*J243+1.3*M243*N243+S243*G243),4)</f>
        <v>41.97</v>
      </c>
      <c r="Y243" s="33">
        <f>ROUND((M243*J243+1.3*M243*N243+S243*G243),4)</f>
        <v>41.97</v>
      </c>
      <c r="Z243" s="43">
        <f>ROUND((P243*T243*F243*O243/1000000),4)</f>
        <v>9.3399999999999997E-2</v>
      </c>
      <c r="AA243" s="43">
        <f>ROUND((Q243*U243*F243*O243/1000000),4)</f>
        <v>4.6699999999999998E-2</v>
      </c>
      <c r="AB243" s="43">
        <f>ROUND((R243*V243*F243*O243/1000000),4)</f>
        <v>4.6699999999999998E-2</v>
      </c>
      <c r="AC243" s="44" t="s">
        <v>111</v>
      </c>
      <c r="AD243" s="45" t="s">
        <v>95</v>
      </c>
      <c r="AE243" s="30">
        <f>ROUND((((X243*E243)/1800)*0.8),4)</f>
        <v>1.8700000000000001E-2</v>
      </c>
      <c r="AF243" s="30">
        <f>ROUND(((Z243+AA243+AB243)*0.8),4)</f>
        <v>0.14940000000000001</v>
      </c>
      <c r="AG243" s="50"/>
      <c r="AH243" s="50"/>
    </row>
    <row r="244" spans="1:36" ht="12.95" customHeight="1" x14ac:dyDescent="0.25">
      <c r="A244" s="36"/>
      <c r="B244" s="35" t="s">
        <v>199</v>
      </c>
      <c r="C244" s="36"/>
      <c r="D244" s="36"/>
      <c r="E244" s="36"/>
      <c r="F244" s="36"/>
      <c r="G244" s="36"/>
      <c r="H244" s="36"/>
      <c r="I244" s="36"/>
      <c r="J244" s="36"/>
      <c r="K244" s="36"/>
      <c r="L244" s="37"/>
      <c r="M244" s="37"/>
      <c r="N244" s="36"/>
      <c r="O244" s="36"/>
      <c r="P244" s="36"/>
      <c r="Q244" s="36"/>
      <c r="R244" s="36"/>
      <c r="S244" s="46"/>
      <c r="T244" s="47"/>
      <c r="U244" s="47"/>
      <c r="V244" s="47"/>
      <c r="W244" s="47"/>
      <c r="X244" s="47"/>
      <c r="Y244" s="47"/>
      <c r="Z244" s="47"/>
      <c r="AA244" s="47"/>
      <c r="AB244" s="47"/>
      <c r="AC244" s="44" t="s">
        <v>112</v>
      </c>
      <c r="AD244" s="45" t="s">
        <v>113</v>
      </c>
      <c r="AE244" s="30">
        <f>ROUND((((X243*E243)/1800)*0.13),4)</f>
        <v>3.0000000000000001E-3</v>
      </c>
      <c r="AF244" s="30">
        <f>ROUND(((Z243+AA243+AB243)*0.13),4)</f>
        <v>2.4299999999999999E-2</v>
      </c>
      <c r="AG244" s="50"/>
      <c r="AH244" s="50"/>
    </row>
    <row r="245" spans="1:36" ht="12.95" customHeight="1" x14ac:dyDescent="0.25">
      <c r="A245" s="36"/>
      <c r="C245" s="39"/>
      <c r="D245" s="39"/>
      <c r="E245" s="36"/>
      <c r="F245" s="36"/>
      <c r="G245" s="36"/>
      <c r="H245" s="36"/>
      <c r="I245" s="36"/>
      <c r="J245" s="36"/>
      <c r="K245" s="36"/>
      <c r="L245" s="40">
        <v>0.12</v>
      </c>
      <c r="M245" s="40">
        <v>0.15</v>
      </c>
      <c r="N245" s="36"/>
      <c r="O245" s="36"/>
      <c r="P245" s="36"/>
      <c r="Q245" s="36"/>
      <c r="R245" s="36"/>
      <c r="S245" s="48">
        <v>5.8000000000000003E-2</v>
      </c>
      <c r="T245" s="33">
        <f>ROUND((L245*I243+1.3*L245*K243+S245*H243),4)</f>
        <v>43.89</v>
      </c>
      <c r="U245" s="33">
        <f>ROUND((M245*0.9*I243+1.3*M245*0.9*K243+S245*H243),4)</f>
        <v>48.941299999999998</v>
      </c>
      <c r="V245" s="33">
        <f>ROUND((M245*I243+1.3*M245*K243+S245*H243),4)</f>
        <v>53.9925</v>
      </c>
      <c r="W245" s="33">
        <f>ROUND((L245*J243+1.3*L245*N243+S245*G243),4)</f>
        <v>3.5880000000000001</v>
      </c>
      <c r="X245" s="33">
        <f>ROUND((M245*0.9*J243+1.3*M245*0.9*N243+S245*G243),4)</f>
        <v>3.9929999999999999</v>
      </c>
      <c r="Y245" s="33">
        <f>ROUND((M245*J243+1.3*M245*N243+S245*G243),4)</f>
        <v>4.3979999999999997</v>
      </c>
      <c r="Z245" s="43">
        <f>ROUND((P243*T245*F243*O243/1000000),4)</f>
        <v>7.9000000000000008E-3</v>
      </c>
      <c r="AA245" s="43">
        <f>ROUND((Q243*U245*F243*O243/1000000),4)</f>
        <v>4.4000000000000003E-3</v>
      </c>
      <c r="AB245" s="43">
        <f>ROUND((R243*V245*F243*O243/1000000),4)</f>
        <v>4.8999999999999998E-3</v>
      </c>
      <c r="AC245" s="44" t="s">
        <v>167</v>
      </c>
      <c r="AD245" s="45" t="s">
        <v>115</v>
      </c>
      <c r="AE245" s="30">
        <f>ROUND((((X245*E243)/1800)),4)</f>
        <v>2.2000000000000001E-3</v>
      </c>
      <c r="AF245" s="30">
        <f>ROUND(((Z245+AA245+AB245)),5)</f>
        <v>1.72E-2</v>
      </c>
      <c r="AG245" s="50"/>
      <c r="AH245" s="50"/>
    </row>
    <row r="246" spans="1:36" ht="12.95" customHeight="1" x14ac:dyDescent="0.25">
      <c r="A246" s="36"/>
      <c r="C246" s="36"/>
      <c r="D246" s="36"/>
      <c r="E246" s="36"/>
      <c r="F246" s="36"/>
      <c r="G246" s="36"/>
      <c r="H246" s="36"/>
      <c r="I246" s="36"/>
      <c r="J246" s="36"/>
      <c r="K246" s="36"/>
      <c r="L246" s="40">
        <v>0.26</v>
      </c>
      <c r="M246" s="40">
        <v>0.31</v>
      </c>
      <c r="N246" s="36"/>
      <c r="O246" s="36"/>
      <c r="P246" s="36"/>
      <c r="Q246" s="36"/>
      <c r="R246" s="36"/>
      <c r="S246" s="49">
        <v>0.18</v>
      </c>
      <c r="T246" s="33">
        <f>ROUND((L246*I243+1.3*L246*K243+S246*H243),4)</f>
        <v>98.355000000000004</v>
      </c>
      <c r="U246" s="33">
        <f>ROUND((M246*0.9*I243+1.3*M246*0.9*K243+S246*H243),4)</f>
        <v>104.7533</v>
      </c>
      <c r="V246" s="33">
        <f>ROUND((M246*I243+1.3*M246*K243+S246*H243),4)</f>
        <v>115.1925</v>
      </c>
      <c r="W246" s="33">
        <f>ROUND((L246*J243+1.3*L246*N243+S246*G243),4)</f>
        <v>8.1</v>
      </c>
      <c r="X246" s="33">
        <f>ROUND((M246*0.9*J243+1.3*M246*0.9*N243+S246*G243),4)</f>
        <v>8.6129999999999995</v>
      </c>
      <c r="Y246" s="33">
        <f>ROUND((M246*J243+1.3*N243+S246*G243),4)</f>
        <v>18.420000000000002</v>
      </c>
      <c r="Z246" s="43">
        <f>ROUND((P243*T246*F243*O243/1000000),4)</f>
        <v>1.77E-2</v>
      </c>
      <c r="AA246" s="43">
        <f>ROUND((Q243*U246*F243*O243/1000000),4)</f>
        <v>9.4000000000000004E-3</v>
      </c>
      <c r="AB246" s="43">
        <f>ROUND((R243*V246*F243*O243/1000000),4)</f>
        <v>1.04E-2</v>
      </c>
      <c r="AC246" s="44" t="s">
        <v>168</v>
      </c>
      <c r="AD246" s="45" t="s">
        <v>169</v>
      </c>
      <c r="AE246" s="30">
        <f>ROUND((((X246*E243)/1800)),4)</f>
        <v>4.7999999999999996E-3</v>
      </c>
      <c r="AF246" s="30">
        <f>ROUND(((Z246+AA246+AB246)),4)</f>
        <v>3.7499999999999999E-2</v>
      </c>
      <c r="AG246" s="50"/>
      <c r="AH246" s="50"/>
    </row>
    <row r="247" spans="1:36" ht="12.95" customHeight="1" x14ac:dyDescent="0.25">
      <c r="A247" s="36"/>
      <c r="B247" s="35"/>
      <c r="C247" s="36"/>
      <c r="D247" s="36"/>
      <c r="E247" s="36"/>
      <c r="F247" s="36"/>
      <c r="G247" s="36"/>
      <c r="H247" s="36"/>
      <c r="I247" s="36"/>
      <c r="J247" s="36"/>
      <c r="K247" s="36"/>
      <c r="L247" s="40">
        <v>0.17</v>
      </c>
      <c r="M247" s="40">
        <v>0.25</v>
      </c>
      <c r="N247" s="36"/>
      <c r="O247" s="36"/>
      <c r="P247" s="36"/>
      <c r="Q247" s="36"/>
      <c r="R247" s="36"/>
      <c r="S247" s="49">
        <v>0.04</v>
      </c>
      <c r="T247" s="33">
        <f>ROUND((L247*I243+1.3*L247*K243+S247*H243),4)</f>
        <v>59.647500000000001</v>
      </c>
      <c r="U247" s="33">
        <f>ROUND((M247*0.9*I243+1.3*M247*0.9*K243+S247*H243),4)</f>
        <v>78.168800000000005</v>
      </c>
      <c r="V247" s="33">
        <f>ROUND((M247*I243+1.3*M247*K243+S247*H243),4)</f>
        <v>86.587500000000006</v>
      </c>
      <c r="W247" s="33">
        <f>ROUND((L247*J243+1.3*L247*N243+S247*G243),4)</f>
        <v>4.83</v>
      </c>
      <c r="X247" s="33">
        <f>ROUND((M247*0.9*J243+1.3*M247*0.9*N243+S247*G243),4)</f>
        <v>6.3150000000000004</v>
      </c>
      <c r="Y247" s="33">
        <f>ROUND((M247*J243+1.3*M247*N243+S247*G243),4)</f>
        <v>6.99</v>
      </c>
      <c r="Z247" s="43">
        <f>ROUND((P243*T247*F243*O243/1000000),4)</f>
        <v>1.0699999999999999E-2</v>
      </c>
      <c r="AA247" s="43">
        <f>ROUND((Q243*U247*F243*O243/1000000),4)</f>
        <v>7.0000000000000001E-3</v>
      </c>
      <c r="AB247" s="43">
        <f>ROUND((R243*V247*F243*O243/1000000),4)</f>
        <v>7.7999999999999996E-3</v>
      </c>
      <c r="AC247" s="44" t="s">
        <v>170</v>
      </c>
      <c r="AD247" s="45" t="s">
        <v>119</v>
      </c>
      <c r="AE247" s="30">
        <f>ROUND((((X247*E243)/1800)),4)</f>
        <v>3.5000000000000001E-3</v>
      </c>
      <c r="AF247" s="30">
        <f>ROUND(((Z247+AA247+AB247)),4)</f>
        <v>2.5499999999999998E-2</v>
      </c>
      <c r="AG247" s="50"/>
      <c r="AH247" s="50"/>
    </row>
    <row r="248" spans="1:36" ht="12.95" customHeight="1" x14ac:dyDescent="0.25">
      <c r="A248" s="37"/>
      <c r="B248" s="41"/>
      <c r="C248" s="37"/>
      <c r="D248" s="37"/>
      <c r="E248" s="37"/>
      <c r="F248" s="37"/>
      <c r="G248" s="37"/>
      <c r="H248" s="37"/>
      <c r="I248" s="37"/>
      <c r="J248" s="37"/>
      <c r="K248" s="37"/>
      <c r="L248" s="40">
        <v>0.77</v>
      </c>
      <c r="M248" s="40">
        <v>0.94</v>
      </c>
      <c r="N248" s="37"/>
      <c r="O248" s="37"/>
      <c r="P248" s="37"/>
      <c r="Q248" s="37"/>
      <c r="R248" s="37"/>
      <c r="S248" s="49">
        <v>1.44</v>
      </c>
      <c r="T248" s="33">
        <f>ROUND((L248*I243+1.3*L248*K243+S248*H243),4)</f>
        <v>345.69749999999999</v>
      </c>
      <c r="U248" s="33">
        <f>ROUND((M248*0.9*I243+1.3*M248*0.9*K243+S248*H243),4)</f>
        <v>371.29050000000001</v>
      </c>
      <c r="V248" s="33">
        <f>ROUND((M248*I243+1.3*M248*K243+S248*H243),4)</f>
        <v>402.94499999999999</v>
      </c>
      <c r="W248" s="33">
        <f>ROUND((L248*J243+1.3*L248*N243+S248*G243),4)</f>
        <v>29.43</v>
      </c>
      <c r="X248" s="33">
        <f>ROUND((M248*0.9*J243+1.3*M248*0.9*N243+S248*G243),4)</f>
        <v>31.481999999999999</v>
      </c>
      <c r="Y248" s="33">
        <f>ROUND((M248*J243+1.3*M248*N243+S248*G243),4)</f>
        <v>34.020000000000003</v>
      </c>
      <c r="Z248" s="43">
        <f>ROUND((P243*T248*F243*O243/1000000),4)</f>
        <v>6.2199999999999998E-2</v>
      </c>
      <c r="AA248" s="43">
        <f>ROUND((Q243*U248*F243*O243/1000000),4)</f>
        <v>3.3399999999999999E-2</v>
      </c>
      <c r="AB248" s="43">
        <f>ROUND((R243*V248*F243*O243/1000000),4)</f>
        <v>3.6299999999999999E-2</v>
      </c>
      <c r="AC248" s="44" t="s">
        <v>171</v>
      </c>
      <c r="AD248" s="45" t="s">
        <v>104</v>
      </c>
      <c r="AE248" s="30">
        <f>ROUND((((X248*E243)/1800)),4)</f>
        <v>1.7500000000000002E-2</v>
      </c>
      <c r="AF248" s="30">
        <f>ROUND(((Z248+AA248+AB248)),4)</f>
        <v>0.13189999999999999</v>
      </c>
      <c r="AG248" s="50"/>
      <c r="AH248" s="50"/>
    </row>
    <row r="249" spans="1:36" ht="12.95" customHeight="1" x14ac:dyDescent="0.25">
      <c r="A249" s="528" t="s">
        <v>343</v>
      </c>
      <c r="B249" s="529"/>
      <c r="C249" s="529"/>
      <c r="D249" s="529"/>
      <c r="E249" s="529"/>
      <c r="F249" s="529"/>
      <c r="G249" s="529"/>
      <c r="H249" s="529"/>
      <c r="I249" s="529"/>
      <c r="J249" s="529"/>
      <c r="K249" s="529"/>
      <c r="L249" s="529"/>
      <c r="M249" s="529"/>
      <c r="N249" s="529"/>
      <c r="O249" s="529"/>
      <c r="P249" s="529"/>
      <c r="Q249" s="529"/>
      <c r="R249" s="529"/>
      <c r="S249" s="530"/>
      <c r="T249" s="24">
        <f>ROUND((L249*I249+1.3*L249*K249+S249*H249),4)</f>
        <v>0</v>
      </c>
      <c r="U249" s="24">
        <f>ROUND((M249*I249+1.3*M249*K249+S249*H249),4)</f>
        <v>0</v>
      </c>
      <c r="V249" s="24">
        <f>ROUND((M249*I249+1.3*M249*K249+S249*H249),4)</f>
        <v>0</v>
      </c>
      <c r="W249" s="24">
        <f>ROUND((L249*J249+1.3*L249*N249+S249*G249),4)</f>
        <v>0</v>
      </c>
      <c r="X249" s="24">
        <f>ROUND((M249*J249+1.3*M249*N249+S249*G249),4)</f>
        <v>0</v>
      </c>
      <c r="Y249" s="24">
        <f>ROUND((M249*J249+1.3*M249*N249+S249*G249),4)</f>
        <v>0</v>
      </c>
      <c r="Z249" s="25">
        <f>ROUND((P249*T249*F249*O249/1000000),4)</f>
        <v>0</v>
      </c>
      <c r="AA249" s="25">
        <f>ROUND((Q249*U249*F249*O249/1000000),4)</f>
        <v>0</v>
      </c>
      <c r="AB249" s="25">
        <f>ROUND((R249*V249*F249*O249/1000000),4)</f>
        <v>0</v>
      </c>
      <c r="AC249" s="58" t="s">
        <v>111</v>
      </c>
      <c r="AD249" s="59" t="s">
        <v>95</v>
      </c>
      <c r="AE249" s="60">
        <f>MAX(AE153,AE159,AE171,AE177,AE183,AE189,AE195,AE201,AE165,AE207,AE213,AE219,AE225,AE231,AE237,AE243)</f>
        <v>0.12720000000000001</v>
      </c>
      <c r="AF249" s="60">
        <f>AF153+AF159+AF171+AF177+AF183+AF189+AF195+AF201+AF207+AF213+AF219+AF225+AF231+AF237+AF243+AF165</f>
        <v>10.1594</v>
      </c>
      <c r="AG249" s="139"/>
      <c r="AH249" s="139"/>
      <c r="AI249" s="1"/>
      <c r="AJ249" s="1"/>
    </row>
    <row r="250" spans="1:36" ht="12.95" customHeight="1" x14ac:dyDescent="0.25">
      <c r="A250" s="531"/>
      <c r="B250" s="532"/>
      <c r="C250" s="532"/>
      <c r="D250" s="532"/>
      <c r="E250" s="532"/>
      <c r="F250" s="532"/>
      <c r="G250" s="532"/>
      <c r="H250" s="532"/>
      <c r="I250" s="532"/>
      <c r="J250" s="532"/>
      <c r="K250" s="532"/>
      <c r="L250" s="532"/>
      <c r="M250" s="532"/>
      <c r="N250" s="532"/>
      <c r="O250" s="532"/>
      <c r="P250" s="532"/>
      <c r="Q250" s="532"/>
      <c r="R250" s="532"/>
      <c r="S250" s="533"/>
      <c r="T250" s="26"/>
      <c r="U250" s="26"/>
      <c r="V250" s="26"/>
      <c r="W250" s="26"/>
      <c r="X250" s="26"/>
      <c r="Y250" s="26"/>
      <c r="Z250" s="26"/>
      <c r="AA250" s="26"/>
      <c r="AB250" s="26"/>
      <c r="AC250" s="58" t="s">
        <v>112</v>
      </c>
      <c r="AD250" s="59" t="s">
        <v>113</v>
      </c>
      <c r="AE250" s="60">
        <f t="shared" ref="AE250:AE254" si="2">MAX(AE154,AE160,AE172,AE178,AE184,AE190,AE196,AE202,AE166,AE208,AE214,AE220,AE226,AE232,AE238,AE244)</f>
        <v>2.07E-2</v>
      </c>
      <c r="AF250" s="60">
        <f t="shared" ref="AF250:AF253" si="3">AF154+AF160+AF172+AF178+AF184+AF190+AF196+AF202+AF208+AF214+AF220+AF226+AF232+AF238+AF244+AF166</f>
        <v>1.6508999999999998</v>
      </c>
      <c r="AG250" s="139"/>
      <c r="AH250" s="139"/>
      <c r="AI250" s="1"/>
      <c r="AJ250" s="1"/>
    </row>
    <row r="251" spans="1:36" ht="12.95" customHeight="1" x14ac:dyDescent="0.25">
      <c r="A251" s="531"/>
      <c r="B251" s="532"/>
      <c r="C251" s="532"/>
      <c r="D251" s="532"/>
      <c r="E251" s="532"/>
      <c r="F251" s="532"/>
      <c r="G251" s="532"/>
      <c r="H251" s="532"/>
      <c r="I251" s="532"/>
      <c r="J251" s="532"/>
      <c r="K251" s="532"/>
      <c r="L251" s="532"/>
      <c r="M251" s="532"/>
      <c r="N251" s="532"/>
      <c r="O251" s="532"/>
      <c r="P251" s="532"/>
      <c r="Q251" s="532"/>
      <c r="R251" s="532"/>
      <c r="S251" s="533"/>
      <c r="T251" s="24">
        <f>ROUND((L251*I249+1.3*L251*K249+S251*H249),4)</f>
        <v>0</v>
      </c>
      <c r="U251" s="24">
        <f>ROUND((M251*0.9*I249+1.3*M251*0.9*K249+S251*H249),4)</f>
        <v>0</v>
      </c>
      <c r="V251" s="24">
        <f>ROUND((M251*I249+1.3*M251*K249+S251*H249),4)</f>
        <v>0</v>
      </c>
      <c r="W251" s="24">
        <f>ROUND((L251*J249+1.3*L251*N249+S251*G249),4)</f>
        <v>0</v>
      </c>
      <c r="X251" s="24">
        <f>ROUND((M251*0.9*J249+1.3*M251*0.9*N249+S251*G249),4)</f>
        <v>0</v>
      </c>
      <c r="Y251" s="24">
        <f>ROUND((M251*J249+1.3*M251*N249+S251*G249),4)</f>
        <v>0</v>
      </c>
      <c r="Z251" s="25">
        <f>ROUND((P249*T251*F249*O249/1000000),4)</f>
        <v>0</v>
      </c>
      <c r="AA251" s="25">
        <f>ROUND((Q249*U251*F249*O249/1000000),4)</f>
        <v>0</v>
      </c>
      <c r="AB251" s="25">
        <f>ROUND((R249*V251*F249*O249/1000000),4)</f>
        <v>0</v>
      </c>
      <c r="AC251" s="58" t="s">
        <v>167</v>
      </c>
      <c r="AD251" s="59" t="s">
        <v>115</v>
      </c>
      <c r="AE251" s="60">
        <f t="shared" si="2"/>
        <v>1.4500000000000001E-2</v>
      </c>
      <c r="AF251" s="60">
        <f t="shared" si="3"/>
        <v>1.2927000000000002</v>
      </c>
      <c r="AG251" s="139"/>
      <c r="AH251" s="139"/>
      <c r="AI251" s="1"/>
      <c r="AJ251" s="1"/>
    </row>
    <row r="252" spans="1:36" ht="12.95" customHeight="1" x14ac:dyDescent="0.25">
      <c r="A252" s="531"/>
      <c r="B252" s="532"/>
      <c r="C252" s="532"/>
      <c r="D252" s="532"/>
      <c r="E252" s="532"/>
      <c r="F252" s="532"/>
      <c r="G252" s="532"/>
      <c r="H252" s="532"/>
      <c r="I252" s="532"/>
      <c r="J252" s="532"/>
      <c r="K252" s="532"/>
      <c r="L252" s="532"/>
      <c r="M252" s="532"/>
      <c r="N252" s="532"/>
      <c r="O252" s="532"/>
      <c r="P252" s="532"/>
      <c r="Q252" s="532"/>
      <c r="R252" s="532"/>
      <c r="S252" s="533"/>
      <c r="T252" s="24">
        <f>ROUND((L252*I249+1.3*L252*K249+S252*H249),4)</f>
        <v>0</v>
      </c>
      <c r="U252" s="24">
        <f>ROUND((M252*0.9*I249+1.3*M252*0.9*K249+S252*H249),4)</f>
        <v>0</v>
      </c>
      <c r="V252" s="24">
        <f>ROUND((M252*I249+1.3*M252*K249+S252*H249),4)</f>
        <v>0</v>
      </c>
      <c r="W252" s="24">
        <f>ROUND((L252*J249+1.3*L252*N249+S252*G249),4)</f>
        <v>0</v>
      </c>
      <c r="X252" s="24">
        <f>ROUND((M252*0.9*J249+1.3*M252*0.9*N249+S252*G249),4)</f>
        <v>0</v>
      </c>
      <c r="Y252" s="24">
        <f>ROUND((M252*J249+1.3*N249+S252*G249),4)</f>
        <v>0</v>
      </c>
      <c r="Z252" s="25">
        <f>ROUND((P249*T252*F249*O249/1000000),4)</f>
        <v>0</v>
      </c>
      <c r="AA252" s="25">
        <f>ROUND((Q249*U252*F249*O249/1000000),4)</f>
        <v>0</v>
      </c>
      <c r="AB252" s="25">
        <f>ROUND((R249*V252*F249*O249/1000000),4)</f>
        <v>0</v>
      </c>
      <c r="AC252" s="58" t="s">
        <v>168</v>
      </c>
      <c r="AD252" s="59" t="s">
        <v>169</v>
      </c>
      <c r="AE252" s="60">
        <f t="shared" si="2"/>
        <v>3.32E-2</v>
      </c>
      <c r="AF252" s="60">
        <f t="shared" si="3"/>
        <v>2.4261000000000008</v>
      </c>
      <c r="AG252" s="139"/>
      <c r="AH252" s="139"/>
      <c r="AI252" s="1"/>
      <c r="AJ252" s="1"/>
    </row>
    <row r="253" spans="1:36" ht="12.95" customHeight="1" x14ac:dyDescent="0.25">
      <c r="A253" s="531"/>
      <c r="B253" s="532"/>
      <c r="C253" s="532"/>
      <c r="D253" s="532"/>
      <c r="E253" s="532"/>
      <c r="F253" s="532"/>
      <c r="G253" s="532"/>
      <c r="H253" s="532"/>
      <c r="I253" s="532"/>
      <c r="J253" s="532"/>
      <c r="K253" s="532"/>
      <c r="L253" s="532"/>
      <c r="M253" s="532"/>
      <c r="N253" s="532"/>
      <c r="O253" s="532"/>
      <c r="P253" s="532"/>
      <c r="Q253" s="532"/>
      <c r="R253" s="532"/>
      <c r="S253" s="533"/>
      <c r="T253" s="24">
        <f>ROUND((L253*I249+1.3*L253*K249+S253*H249),4)</f>
        <v>0</v>
      </c>
      <c r="U253" s="24">
        <f>ROUND((M253*0.9*I249+1.3*M253*0.9*K249+S253*H249),4)</f>
        <v>0</v>
      </c>
      <c r="V253" s="24">
        <f>ROUND((M253*I249+1.3*M253*K249+S253*H249),4)</f>
        <v>0</v>
      </c>
      <c r="W253" s="24">
        <f>ROUND((L253*J249+1.3*L253*N249+S253*G249),4)</f>
        <v>0</v>
      </c>
      <c r="X253" s="24">
        <f>ROUND((M253*0.9*J249+1.3*M253*0.9*N249+S253*G249),4)</f>
        <v>0</v>
      </c>
      <c r="Y253" s="24">
        <f>ROUND((M253*J249+1.3*M253*N249+S253*G249),4)</f>
        <v>0</v>
      </c>
      <c r="Z253" s="25">
        <f>ROUND((P249*T253*F249*O249/1000000),4)</f>
        <v>0</v>
      </c>
      <c r="AA253" s="25">
        <f>ROUND((Q249*U253*F249*O249/1000000),4)</f>
        <v>0</v>
      </c>
      <c r="AB253" s="25">
        <f>ROUND((R249*V253*F249*O249/1000000),4)</f>
        <v>0</v>
      </c>
      <c r="AC253" s="58" t="s">
        <v>170</v>
      </c>
      <c r="AD253" s="59" t="s">
        <v>119</v>
      </c>
      <c r="AE253" s="60">
        <f t="shared" si="2"/>
        <v>2.3800000000000002E-2</v>
      </c>
      <c r="AF253" s="60">
        <f t="shared" si="3"/>
        <v>1.6271999999999998</v>
      </c>
      <c r="AG253" s="139"/>
      <c r="AH253" s="139"/>
      <c r="AI253" s="1"/>
      <c r="AJ253" s="1"/>
    </row>
    <row r="254" spans="1:36" ht="12.95" customHeight="1" x14ac:dyDescent="0.25">
      <c r="A254" s="534"/>
      <c r="B254" s="535"/>
      <c r="C254" s="535"/>
      <c r="D254" s="535"/>
      <c r="E254" s="535"/>
      <c r="F254" s="535"/>
      <c r="G254" s="535"/>
      <c r="H254" s="535"/>
      <c r="I254" s="535"/>
      <c r="J254" s="535"/>
      <c r="K254" s="535"/>
      <c r="L254" s="535"/>
      <c r="M254" s="535"/>
      <c r="N254" s="535"/>
      <c r="O254" s="535"/>
      <c r="P254" s="535"/>
      <c r="Q254" s="535"/>
      <c r="R254" s="535"/>
      <c r="S254" s="536"/>
      <c r="T254" s="24">
        <f>ROUND((L254*I249+1.3*L254*K249+S254*H249),4)</f>
        <v>0</v>
      </c>
      <c r="U254" s="24">
        <f>ROUND((M254*0.9*I249+1.3*M254*0.9*K249+S254*H249),4)</f>
        <v>0</v>
      </c>
      <c r="V254" s="24">
        <f>ROUND((M254*I249+1.3*M254*K249+S254*H249),4)</f>
        <v>0</v>
      </c>
      <c r="W254" s="24">
        <f>ROUND((L254*J249+1.3*L254*N249+S254*G249),4)</f>
        <v>0</v>
      </c>
      <c r="X254" s="24">
        <f>ROUND((M254*0.9*J249+1.3*M254*0.9*N249+S254*G249),4)</f>
        <v>0</v>
      </c>
      <c r="Y254" s="24">
        <f>ROUND((M254*J249+1.3*M254*N249+S254*G249),4)</f>
        <v>0</v>
      </c>
      <c r="Z254" s="25">
        <f>ROUND((P249*T254*F249*O249/1000000),4)</f>
        <v>0</v>
      </c>
      <c r="AA254" s="25">
        <f>ROUND((Q249*U254*F249*O249/1000000),4)</f>
        <v>0</v>
      </c>
      <c r="AB254" s="25">
        <f>ROUND((R249*V254*F249*O249/1000000),4)</f>
        <v>0</v>
      </c>
      <c r="AC254" s="58" t="s">
        <v>171</v>
      </c>
      <c r="AD254" s="59" t="s">
        <v>104</v>
      </c>
      <c r="AE254" s="60">
        <f t="shared" si="2"/>
        <v>0.12039999999999999</v>
      </c>
      <c r="AF254" s="60">
        <f>AF158+AF164+AF176+AF182+AF188+AF194+AF200+AF206+AF212+AF218+AF224+AF230+AF236+AF242+AF248+AF170</f>
        <v>7.7208999999999994</v>
      </c>
      <c r="AG254" s="133">
        <f>SUM(AE249:AE254)</f>
        <v>0.33980000000000005</v>
      </c>
      <c r="AH254" s="133">
        <f>SUM(AF249:AF254)</f>
        <v>24.877199999999998</v>
      </c>
      <c r="AI254" s="1">
        <v>2027</v>
      </c>
      <c r="AJ254" s="1"/>
    </row>
    <row r="255" spans="1:36" ht="12.95" customHeight="1" x14ac:dyDescent="0.25">
      <c r="A255" s="525" t="s">
        <v>22</v>
      </c>
      <c r="B255" s="526"/>
      <c r="C255" s="526"/>
      <c r="D255" s="526"/>
      <c r="E255" s="526"/>
      <c r="F255" s="526"/>
      <c r="G255" s="526"/>
      <c r="H255" s="526"/>
      <c r="I255" s="526"/>
      <c r="J255" s="526"/>
      <c r="K255" s="526"/>
      <c r="L255" s="526"/>
      <c r="M255" s="526"/>
      <c r="N255" s="526"/>
      <c r="O255" s="526"/>
      <c r="P255" s="526"/>
      <c r="Q255" s="526"/>
      <c r="R255" s="526"/>
      <c r="S255" s="526"/>
      <c r="T255" s="526"/>
      <c r="U255" s="526"/>
      <c r="V255" s="526"/>
      <c r="W255" s="526"/>
      <c r="X255" s="526"/>
      <c r="Y255" s="526"/>
      <c r="Z255" s="526"/>
      <c r="AA255" s="526"/>
      <c r="AB255" s="526"/>
      <c r="AC255" s="526"/>
      <c r="AD255" s="526"/>
      <c r="AE255" s="526"/>
      <c r="AF255" s="527"/>
      <c r="AG255" s="138"/>
      <c r="AH255" s="138"/>
      <c r="AI255" s="1"/>
      <c r="AJ255" s="1"/>
    </row>
    <row r="256" spans="1:36" ht="12.95" customHeight="1" x14ac:dyDescent="0.25">
      <c r="A256" s="21">
        <v>9005</v>
      </c>
      <c r="B256" s="31" t="s">
        <v>164</v>
      </c>
      <c r="C256" s="32">
        <v>4</v>
      </c>
      <c r="D256" s="32" t="s">
        <v>165</v>
      </c>
      <c r="E256" s="32">
        <v>1</v>
      </c>
      <c r="F256" s="32">
        <v>1</v>
      </c>
      <c r="G256" s="32">
        <v>6</v>
      </c>
      <c r="H256" s="32">
        <v>60</v>
      </c>
      <c r="I256" s="32">
        <f>(8-1-0.75*2)*60*F256-K256-8*0.12*60</f>
        <v>57.900000000000006</v>
      </c>
      <c r="J256" s="32">
        <v>14</v>
      </c>
      <c r="K256" s="32">
        <f>(8-1-0.75*2)*0.65*60*F256</f>
        <v>214.5</v>
      </c>
      <c r="L256" s="32">
        <v>2.4700000000000002</v>
      </c>
      <c r="M256" s="32">
        <v>2.4700000000000002</v>
      </c>
      <c r="N256" s="32">
        <v>10</v>
      </c>
      <c r="O256" s="32">
        <f>E256/F256</f>
        <v>1</v>
      </c>
      <c r="P256" s="32">
        <v>0</v>
      </c>
      <c r="Q256" s="32">
        <v>60</v>
      </c>
      <c r="R256" s="42">
        <v>60</v>
      </c>
      <c r="S256" s="32">
        <v>0.48</v>
      </c>
      <c r="T256" s="33">
        <f>ROUND((L256*I256+1.3*L256*K256+S256*H256),4)</f>
        <v>860.57249999999999</v>
      </c>
      <c r="U256" s="33">
        <f>ROUND((M256*I256+1.3*M256*K256+S256*H256),4)</f>
        <v>860.57249999999999</v>
      </c>
      <c r="V256" s="33">
        <f>ROUND((M256*I256+1.3*M256*K256+S256*H256),4)</f>
        <v>860.57249999999999</v>
      </c>
      <c r="W256" s="33">
        <f>ROUND((L256*J256+1.3*L256*N256+S256*G256),4)</f>
        <v>69.569999999999993</v>
      </c>
      <c r="X256" s="33">
        <f>ROUND((M256*J256+1.3*M256*N256+S256*G256),4)</f>
        <v>69.569999999999993</v>
      </c>
      <c r="Y256" s="33">
        <f>ROUND((M256*J256+1.3*M256*N256+S256*G256),4)</f>
        <v>69.569999999999993</v>
      </c>
      <c r="Z256" s="43">
        <f>ROUND((P256*T256*F256*O256/1000000),4)</f>
        <v>0</v>
      </c>
      <c r="AA256" s="43">
        <f>ROUND((Q256*U256*F256*O256/1000000),4)</f>
        <v>5.16E-2</v>
      </c>
      <c r="AB256" s="43">
        <f>ROUND((R256*V256*F256*O256/1000000),4)</f>
        <v>5.16E-2</v>
      </c>
      <c r="AC256" s="44" t="s">
        <v>111</v>
      </c>
      <c r="AD256" s="45" t="s">
        <v>95</v>
      </c>
      <c r="AE256" s="30">
        <f>ROUND((((X256*E256)/1800)*0.8),4)</f>
        <v>3.09E-2</v>
      </c>
      <c r="AF256" s="30">
        <f>ROUND(((Z256+AA256+AB256)*0.8),4)</f>
        <v>8.2600000000000007E-2</v>
      </c>
      <c r="AG256" s="50"/>
      <c r="AH256" s="50"/>
    </row>
    <row r="257" spans="1:34" ht="12.95" customHeight="1" x14ac:dyDescent="0.25">
      <c r="A257" s="36"/>
      <c r="B257" s="35" t="s">
        <v>166</v>
      </c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51"/>
      <c r="T257" s="47"/>
      <c r="U257" s="47"/>
      <c r="V257" s="47"/>
      <c r="W257" s="47"/>
      <c r="X257" s="47"/>
      <c r="Y257" s="47"/>
      <c r="Z257" s="47"/>
      <c r="AA257" s="47"/>
      <c r="AB257" s="47"/>
      <c r="AC257" s="44" t="s">
        <v>112</v>
      </c>
      <c r="AD257" s="45" t="s">
        <v>113</v>
      </c>
      <c r="AE257" s="30">
        <f>ROUND((((X256*E256)/1800)*0.13),4)</f>
        <v>5.0000000000000001E-3</v>
      </c>
      <c r="AF257" s="30">
        <f>ROUND(((Z256+AA256+AB256)*0.13),4)</f>
        <v>1.34E-2</v>
      </c>
      <c r="AG257" s="50"/>
      <c r="AH257" s="50"/>
    </row>
    <row r="258" spans="1:34" ht="12.95" customHeight="1" x14ac:dyDescent="0.25">
      <c r="A258" s="36"/>
      <c r="B258" s="35"/>
      <c r="C258" s="39"/>
      <c r="D258" s="39"/>
      <c r="E258" s="36"/>
      <c r="F258" s="36"/>
      <c r="G258" s="36"/>
      <c r="H258" s="36"/>
      <c r="I258" s="36"/>
      <c r="J258" s="36"/>
      <c r="K258" s="36"/>
      <c r="L258" s="36">
        <v>0.19</v>
      </c>
      <c r="M258" s="36">
        <v>0.23</v>
      </c>
      <c r="N258" s="36"/>
      <c r="O258" s="36"/>
      <c r="P258" s="36"/>
      <c r="Q258" s="36"/>
      <c r="R258" s="36"/>
      <c r="S258" s="52">
        <v>9.7000000000000003E-2</v>
      </c>
      <c r="T258" s="33">
        <f>ROUND((L258*I256+1.3*L258*K256+S258*H256),4)</f>
        <v>69.802499999999995</v>
      </c>
      <c r="U258" s="33">
        <f>ROUND((M258*0.9*I256+1.3*M258*0.9*K256+S258*H256),4)</f>
        <v>75.527299999999997</v>
      </c>
      <c r="V258" s="33">
        <f>ROUND((M258*I256+1.3*M258*K256+S258*H256),4)</f>
        <v>83.272499999999994</v>
      </c>
      <c r="W258" s="33">
        <f>ROUND((L258*J256+1.3*L258*N256+S258*G256),4)</f>
        <v>5.7119999999999997</v>
      </c>
      <c r="X258" s="33">
        <f>ROUND((M258*0.9*J256+1.3*M258*0.9*N256+S258*G256),4)</f>
        <v>6.1710000000000003</v>
      </c>
      <c r="Y258" s="33">
        <f>ROUND((M258*J256+1.3*M258*N256+S258*G256),4)</f>
        <v>6.7919999999999998</v>
      </c>
      <c r="Z258" s="43">
        <f>ROUND((P256*T258*F256*O256/1000000),4)</f>
        <v>0</v>
      </c>
      <c r="AA258" s="43">
        <f>ROUND((Q256*U258*F256*O256/1000000),4)</f>
        <v>4.4999999999999997E-3</v>
      </c>
      <c r="AB258" s="43">
        <f>ROUND((R256*V258*F256*O256/1000000),4)</f>
        <v>5.0000000000000001E-3</v>
      </c>
      <c r="AC258" s="44" t="s">
        <v>167</v>
      </c>
      <c r="AD258" s="45" t="s">
        <v>115</v>
      </c>
      <c r="AE258" s="30">
        <f>ROUND((((X258*E256)/1800)),4)</f>
        <v>3.3999999999999998E-3</v>
      </c>
      <c r="AF258" s="30">
        <f>ROUND(((Z258+AA258+AB258)),5)</f>
        <v>9.4999999999999998E-3</v>
      </c>
      <c r="AG258" s="50"/>
      <c r="AH258" s="50"/>
    </row>
    <row r="259" spans="1:34" ht="12.95" customHeight="1" x14ac:dyDescent="0.25">
      <c r="A259" s="36"/>
      <c r="B259" s="53"/>
      <c r="C259" s="36"/>
      <c r="D259" s="36"/>
      <c r="E259" s="36"/>
      <c r="F259" s="36"/>
      <c r="G259" s="36"/>
      <c r="H259" s="36"/>
      <c r="I259" s="36"/>
      <c r="J259" s="36"/>
      <c r="K259" s="36"/>
      <c r="L259" s="36">
        <v>0.43</v>
      </c>
      <c r="M259" s="36">
        <v>0.51</v>
      </c>
      <c r="N259" s="36"/>
      <c r="O259" s="36"/>
      <c r="P259" s="36"/>
      <c r="Q259" s="36"/>
      <c r="R259" s="36"/>
      <c r="S259" s="52">
        <v>0.3</v>
      </c>
      <c r="T259" s="33">
        <f>ROUND((L259*I256+1.3*L259*K256+S259*H256),4)</f>
        <v>162.80250000000001</v>
      </c>
      <c r="U259" s="33">
        <f>ROUND((M259*0.9*I256+1.3*M259*0.9*K256+S259*H256),4)</f>
        <v>172.56829999999999</v>
      </c>
      <c r="V259" s="33">
        <f>ROUND((M259*I256+1.3*M259*K256+S259*H256),4)</f>
        <v>189.74250000000001</v>
      </c>
      <c r="W259" s="33">
        <f>ROUND((L259*J256+1.3*L259*N256+S259*G256),4)</f>
        <v>13.41</v>
      </c>
      <c r="X259" s="33">
        <f>ROUND((M259*0.9*J256+1.3*M259*0.9*N256+S259*G256),4)</f>
        <v>14.193</v>
      </c>
      <c r="Y259" s="33">
        <f>ROUND((M259*J256+1.3*N256+S259*G256),4)</f>
        <v>21.94</v>
      </c>
      <c r="Z259" s="43">
        <f>ROUND((P256*T259*F256*O256/1000000),4)</f>
        <v>0</v>
      </c>
      <c r="AA259" s="43">
        <f>ROUND((Q256*U259*F256*O256/1000000),4)</f>
        <v>1.04E-2</v>
      </c>
      <c r="AB259" s="43">
        <f>ROUND((R256*V259*F256*O256/1000000),4)</f>
        <v>1.14E-2</v>
      </c>
      <c r="AC259" s="44" t="s">
        <v>168</v>
      </c>
      <c r="AD259" s="45" t="s">
        <v>169</v>
      </c>
      <c r="AE259" s="30">
        <f>ROUND((((X259*E256)/1800)),4)</f>
        <v>7.9000000000000008E-3</v>
      </c>
      <c r="AF259" s="30">
        <f>ROUND(((Z259+AA259+AB259)),4)</f>
        <v>2.18E-2</v>
      </c>
      <c r="AG259" s="50"/>
      <c r="AH259" s="50"/>
    </row>
    <row r="260" spans="1:34" ht="12.95" customHeight="1" x14ac:dyDescent="0.25">
      <c r="A260" s="36"/>
      <c r="B260" s="35"/>
      <c r="C260" s="36"/>
      <c r="D260" s="36"/>
      <c r="E260" s="36"/>
      <c r="F260" s="36"/>
      <c r="G260" s="36"/>
      <c r="H260" s="36"/>
      <c r="I260" s="36"/>
      <c r="J260" s="36"/>
      <c r="K260" s="36"/>
      <c r="L260" s="36">
        <v>0.27</v>
      </c>
      <c r="M260" s="36">
        <v>0.41</v>
      </c>
      <c r="N260" s="36"/>
      <c r="O260" s="36"/>
      <c r="P260" s="36"/>
      <c r="Q260" s="36"/>
      <c r="R260" s="36"/>
      <c r="S260" s="52">
        <v>0.06</v>
      </c>
      <c r="T260" s="33">
        <f>ROUND((L260*I256+1.3*L260*K256+S260*H256),4)</f>
        <v>94.522499999999994</v>
      </c>
      <c r="U260" s="33">
        <f>ROUND((M260*0.9*I256+1.3*M260*0.9*K256+S260*H256),4)</f>
        <v>127.8608</v>
      </c>
      <c r="V260" s="33">
        <f>ROUND((M260*I256+1.3*M260*K256+S260*H256),4)</f>
        <v>141.66749999999999</v>
      </c>
      <c r="W260" s="33">
        <f>ROUND((L260*J256+1.3*L260*N256+S260*G256),4)</f>
        <v>7.65</v>
      </c>
      <c r="X260" s="33">
        <f>ROUND((M260*0.9*J256+1.3*M260*0.9*N256+S260*G256),4)</f>
        <v>10.323</v>
      </c>
      <c r="Y260" s="33">
        <f>ROUND((M260*J256+1.3*M260*N256+S260*G256),4)</f>
        <v>11.43</v>
      </c>
      <c r="Z260" s="43">
        <f>ROUND((P256*T260*F256*O256/1000000),4)</f>
        <v>0</v>
      </c>
      <c r="AA260" s="43">
        <f>ROUND((Q256*U260*F256*O256/1000000),4)</f>
        <v>7.7000000000000002E-3</v>
      </c>
      <c r="AB260" s="43">
        <f>ROUND((R256*V260*F256*O256/1000000),4)</f>
        <v>8.5000000000000006E-3</v>
      </c>
      <c r="AC260" s="44" t="s">
        <v>170</v>
      </c>
      <c r="AD260" s="45" t="s">
        <v>119</v>
      </c>
      <c r="AE260" s="30">
        <f>ROUND((((X260*E256)/1800)),4)</f>
        <v>5.7000000000000002E-3</v>
      </c>
      <c r="AF260" s="30">
        <f>ROUND(((Z260+AA260+AB260)),4)</f>
        <v>1.6199999999999999E-2</v>
      </c>
      <c r="AG260" s="50"/>
      <c r="AH260" s="50"/>
    </row>
    <row r="261" spans="1:34" ht="12.95" customHeight="1" x14ac:dyDescent="0.25">
      <c r="A261" s="36"/>
      <c r="B261" s="35"/>
      <c r="C261" s="37"/>
      <c r="D261" s="37"/>
      <c r="E261" s="37"/>
      <c r="F261" s="37"/>
      <c r="G261" s="37"/>
      <c r="H261" s="37"/>
      <c r="I261" s="37"/>
      <c r="J261" s="37"/>
      <c r="K261" s="37"/>
      <c r="L261" s="37">
        <v>1.29</v>
      </c>
      <c r="M261" s="37">
        <v>1.57</v>
      </c>
      <c r="N261" s="37"/>
      <c r="O261" s="37"/>
      <c r="P261" s="37"/>
      <c r="Q261" s="37"/>
      <c r="R261" s="37"/>
      <c r="S261" s="52">
        <v>2.4</v>
      </c>
      <c r="T261" s="54">
        <f>ROUND((L261*I256+1.3*L261*K256+S261*H256),4)</f>
        <v>578.40750000000003</v>
      </c>
      <c r="U261" s="54">
        <f>ROUND((M261*0.9*I256+1.3*M261*0.9*K256+S261*H256),4)</f>
        <v>619.82780000000002</v>
      </c>
      <c r="V261" s="54">
        <f>ROUND((M261*I256+1.3*M261*K256+S261*H256),4)</f>
        <v>672.69749999999999</v>
      </c>
      <c r="W261" s="54">
        <f>ROUND((L261*J256+1.3*L261*N256+S261*G256),4)</f>
        <v>49.23</v>
      </c>
      <c r="X261" s="54">
        <f>ROUND((M261*0.9*J256+1.3*M261*0.9*N256+S261*G256),4)</f>
        <v>52.551000000000002</v>
      </c>
      <c r="Y261" s="54">
        <f>ROUND((M261*J256+1.3*M261*N256+S261*G256),4)</f>
        <v>56.79</v>
      </c>
      <c r="Z261" s="55">
        <f>ROUND((P256*T261*F256*O256/1000000),4)</f>
        <v>0</v>
      </c>
      <c r="AA261" s="55">
        <f>ROUND((Q256*U261*F256*O256/1000000),4)</f>
        <v>3.7199999999999997E-2</v>
      </c>
      <c r="AB261" s="55">
        <f>ROUND((R256*V261*F256*O256/1000000),4)</f>
        <v>4.0399999999999998E-2</v>
      </c>
      <c r="AC261" s="44" t="s">
        <v>171</v>
      </c>
      <c r="AD261" s="45" t="s">
        <v>104</v>
      </c>
      <c r="AE261" s="30">
        <f>ROUND((((X261*E256)/1800)),4)</f>
        <v>2.92E-2</v>
      </c>
      <c r="AF261" s="30">
        <f>ROUND(((Z261+AA261+AB261)),4)</f>
        <v>7.7600000000000002E-2</v>
      </c>
      <c r="AG261" s="50"/>
      <c r="AH261" s="50"/>
    </row>
    <row r="262" spans="1:34" ht="12.95" customHeight="1" x14ac:dyDescent="0.25">
      <c r="A262" s="36"/>
      <c r="B262" s="31" t="s">
        <v>172</v>
      </c>
      <c r="C262" s="31">
        <v>5</v>
      </c>
      <c r="D262" s="32" t="s">
        <v>173</v>
      </c>
      <c r="E262" s="32">
        <v>1</v>
      </c>
      <c r="F262" s="32">
        <v>1</v>
      </c>
      <c r="G262" s="32">
        <v>6</v>
      </c>
      <c r="H262" s="32">
        <v>60</v>
      </c>
      <c r="I262" s="32">
        <f>(8-1-0.75*2)*60*F262-K262-8*0.12*60</f>
        <v>57.900000000000006</v>
      </c>
      <c r="J262" s="32">
        <v>14</v>
      </c>
      <c r="K262" s="32">
        <f>(8-1-0.75*2)*0.65*60*F262</f>
        <v>214.5</v>
      </c>
      <c r="L262" s="33">
        <v>4.01</v>
      </c>
      <c r="M262" s="33">
        <v>4.01</v>
      </c>
      <c r="N262" s="32">
        <v>10</v>
      </c>
      <c r="O262" s="32">
        <f>E262/F262</f>
        <v>1</v>
      </c>
      <c r="P262" s="32">
        <v>0</v>
      </c>
      <c r="Q262" s="32">
        <v>60</v>
      </c>
      <c r="R262" s="42">
        <v>60</v>
      </c>
      <c r="S262" s="42">
        <v>0.78</v>
      </c>
      <c r="T262" s="33">
        <f>ROUND((L262*I262+1.3*L262*K262+S262*H262),4)</f>
        <v>1397.1675</v>
      </c>
      <c r="U262" s="33">
        <f>ROUND((M262*I262+1.3*M262*K262+S262*H262),4)</f>
        <v>1397.1675</v>
      </c>
      <c r="V262" s="33">
        <f>ROUND((M262*I262+1.3*M262*K262+S262*H262),4)</f>
        <v>1397.1675</v>
      </c>
      <c r="W262" s="33">
        <f>ROUND((L262*J262+1.3*L262*N262+S262*G262),4)</f>
        <v>112.95</v>
      </c>
      <c r="X262" s="33">
        <f>ROUND((M262*J262+1.3*M262*N262+S262*G262),4)</f>
        <v>112.95</v>
      </c>
      <c r="Y262" s="33">
        <f>ROUND((M262*J262+1.3*M262*N262+S262*G262),4)</f>
        <v>112.95</v>
      </c>
      <c r="Z262" s="43">
        <f>ROUND((P262*T262*F262*O262/1000000),4)</f>
        <v>0</v>
      </c>
      <c r="AA262" s="43">
        <f>ROUND((Q262*U262*F262*O262/1000000),4)</f>
        <v>8.3799999999999999E-2</v>
      </c>
      <c r="AB262" s="43">
        <f>ROUND((R262*V262*F262*O262/1000000),4)</f>
        <v>8.3799999999999999E-2</v>
      </c>
      <c r="AC262" s="44" t="s">
        <v>111</v>
      </c>
      <c r="AD262" s="45" t="s">
        <v>95</v>
      </c>
      <c r="AE262" s="30">
        <f>ROUND((((X262*E262)/1800)*0.8),4)</f>
        <v>5.0200000000000002E-2</v>
      </c>
      <c r="AF262" s="30">
        <f>ROUND(((Z262+AA262+AB262)*0.8),4)</f>
        <v>0.1341</v>
      </c>
      <c r="AG262" s="50"/>
      <c r="AH262" s="50"/>
    </row>
    <row r="263" spans="1:34" ht="12.95" customHeight="1" x14ac:dyDescent="0.25">
      <c r="A263" s="36"/>
      <c r="B263" s="34" t="s">
        <v>174</v>
      </c>
      <c r="C263" s="35"/>
      <c r="D263" s="36"/>
      <c r="E263" s="36"/>
      <c r="F263" s="36"/>
      <c r="G263" s="36"/>
      <c r="H263" s="36"/>
      <c r="I263" s="36"/>
      <c r="J263" s="36"/>
      <c r="K263" s="36"/>
      <c r="L263" s="37"/>
      <c r="M263" s="37"/>
      <c r="N263" s="36"/>
      <c r="O263" s="36"/>
      <c r="P263" s="36"/>
      <c r="Q263" s="36"/>
      <c r="R263" s="36"/>
      <c r="S263" s="46"/>
      <c r="T263" s="47"/>
      <c r="U263" s="47"/>
      <c r="V263" s="47"/>
      <c r="W263" s="47"/>
      <c r="X263" s="47"/>
      <c r="Y263" s="47"/>
      <c r="Z263" s="47"/>
      <c r="AA263" s="47"/>
      <c r="AB263" s="47"/>
      <c r="AC263" s="44" t="s">
        <v>112</v>
      </c>
      <c r="AD263" s="45" t="s">
        <v>113</v>
      </c>
      <c r="AE263" s="30">
        <f>ROUND((((X262*E262)/1800)*0.13),4)</f>
        <v>8.2000000000000007E-3</v>
      </c>
      <c r="AF263" s="30">
        <f>ROUND(((Z262+AA262+AB262)*0.13),4)</f>
        <v>2.18E-2</v>
      </c>
      <c r="AG263" s="50"/>
      <c r="AH263" s="50"/>
    </row>
    <row r="264" spans="1:34" ht="12.95" customHeight="1" x14ac:dyDescent="0.25">
      <c r="A264" s="36"/>
      <c r="B264" s="35"/>
      <c r="C264" s="38"/>
      <c r="D264" s="39"/>
      <c r="E264" s="36"/>
      <c r="F264" s="36"/>
      <c r="G264" s="36"/>
      <c r="H264" s="36"/>
      <c r="I264" s="36"/>
      <c r="J264" s="36"/>
      <c r="K264" s="36"/>
      <c r="L264" s="40">
        <v>0.31</v>
      </c>
      <c r="M264" s="40">
        <v>0.38</v>
      </c>
      <c r="N264" s="36"/>
      <c r="O264" s="36"/>
      <c r="P264" s="36"/>
      <c r="Q264" s="36"/>
      <c r="R264" s="36"/>
      <c r="S264" s="48">
        <v>0.16</v>
      </c>
      <c r="T264" s="33">
        <f>ROUND((L264*I262+1.3*L264*K262+S264*H262),4)</f>
        <v>113.99250000000001</v>
      </c>
      <c r="U264" s="33">
        <f>ROUND((M264*0.9*I262+1.3*M264*0.9*K262+S264*H262),4)</f>
        <v>124.7685</v>
      </c>
      <c r="V264" s="33">
        <f>ROUND((M264*I262+1.3*M264*K262+S264*H262),4)</f>
        <v>137.565</v>
      </c>
      <c r="W264" s="33">
        <f>ROUND((L264*J262+1.3*L264*N262+S264*G262),4)</f>
        <v>9.33</v>
      </c>
      <c r="X264" s="33">
        <f>ROUND((M264*0.9*J262+1.3*M264*0.9*N262+S264*G262),4)</f>
        <v>10.194000000000001</v>
      </c>
      <c r="Y264" s="33">
        <f>ROUND((M264*J262+1.3*M264*N262+S264*G262),4)</f>
        <v>11.22</v>
      </c>
      <c r="Z264" s="43">
        <f>ROUND((P262*T264*F262*O262/1000000),4)</f>
        <v>0</v>
      </c>
      <c r="AA264" s="43">
        <f>ROUND((Q262*U264*F262*O262/1000000),4)</f>
        <v>7.4999999999999997E-3</v>
      </c>
      <c r="AB264" s="43">
        <f>ROUND((R262*V264*F262*O262/1000000),4)</f>
        <v>8.3000000000000001E-3</v>
      </c>
      <c r="AC264" s="44" t="s">
        <v>167</v>
      </c>
      <c r="AD264" s="45" t="s">
        <v>115</v>
      </c>
      <c r="AE264" s="30">
        <f>ROUND((((X264*E262)/1800)),4)</f>
        <v>5.7000000000000002E-3</v>
      </c>
      <c r="AF264" s="30">
        <f>ROUND(((Z264+AA264+AB264)),5)</f>
        <v>1.5800000000000002E-2</v>
      </c>
      <c r="AG264" s="50"/>
      <c r="AH264" s="50"/>
    </row>
    <row r="265" spans="1:34" ht="12.95" customHeight="1" x14ac:dyDescent="0.25">
      <c r="A265" s="36"/>
      <c r="B265" s="35"/>
      <c r="C265" s="35"/>
      <c r="D265" s="36"/>
      <c r="E265" s="36"/>
      <c r="F265" s="36"/>
      <c r="G265" s="36"/>
      <c r="H265" s="36"/>
      <c r="I265" s="36"/>
      <c r="J265" s="36"/>
      <c r="K265" s="36"/>
      <c r="L265" s="40">
        <v>0.71</v>
      </c>
      <c r="M265" s="40">
        <v>0.85</v>
      </c>
      <c r="N265" s="36"/>
      <c r="O265" s="36"/>
      <c r="P265" s="36"/>
      <c r="Q265" s="36"/>
      <c r="R265" s="36"/>
      <c r="S265" s="49">
        <v>0.49</v>
      </c>
      <c r="T265" s="33">
        <f>ROUND((L265*I262+1.3*L265*K262+S265*H262),4)</f>
        <v>268.49250000000001</v>
      </c>
      <c r="U265" s="33">
        <f>ROUND((M265*0.9*I262+1.3*M265*0.9*K262+S265*H262),4)</f>
        <v>287.0138</v>
      </c>
      <c r="V265" s="33">
        <f>ROUND((M265*I262+1.3*M265*K262+S265*H262),4)</f>
        <v>315.63749999999999</v>
      </c>
      <c r="W265" s="33">
        <f>ROUND((L265*J262+1.3*L265*N262+S265*G262),4)</f>
        <v>22.11</v>
      </c>
      <c r="X265" s="33">
        <f>ROUND((M265*0.9*J262+1.3*M265*0.9*N262+S265*G262),4)</f>
        <v>23.594999999999999</v>
      </c>
      <c r="Y265" s="33">
        <f>ROUND((M265*J262+1.3*N262+S265*G262),4)</f>
        <v>27.84</v>
      </c>
      <c r="Z265" s="43">
        <f>ROUND((P262*T265*F262*O262/1000000),4)</f>
        <v>0</v>
      </c>
      <c r="AA265" s="43">
        <f>ROUND((Q262*U265*F262*O262/1000000),4)</f>
        <v>1.72E-2</v>
      </c>
      <c r="AB265" s="43">
        <f>ROUND((R262*V265*F262*O262/1000000),4)</f>
        <v>1.89E-2</v>
      </c>
      <c r="AC265" s="44" t="s">
        <v>168</v>
      </c>
      <c r="AD265" s="45" t="s">
        <v>169</v>
      </c>
      <c r="AE265" s="30">
        <f>ROUND((((X265*E262)/1800)),4)</f>
        <v>1.3100000000000001E-2</v>
      </c>
      <c r="AF265" s="30">
        <f>ROUND(((Z265+AA265+AB265)),4)</f>
        <v>3.61E-2</v>
      </c>
      <c r="AG265" s="50"/>
      <c r="AH265" s="50"/>
    </row>
    <row r="266" spans="1:34" ht="12.95" customHeight="1" x14ac:dyDescent="0.25">
      <c r="A266" s="36"/>
      <c r="B266" s="35"/>
      <c r="C266" s="35"/>
      <c r="D266" s="36"/>
      <c r="E266" s="36"/>
      <c r="F266" s="36"/>
      <c r="G266" s="36"/>
      <c r="H266" s="36"/>
      <c r="I266" s="36"/>
      <c r="J266" s="36"/>
      <c r="K266" s="36"/>
      <c r="L266" s="40">
        <v>0.45</v>
      </c>
      <c r="M266" s="40">
        <v>0.67</v>
      </c>
      <c r="N266" s="36"/>
      <c r="O266" s="36"/>
      <c r="P266" s="36"/>
      <c r="Q266" s="36"/>
      <c r="R266" s="36"/>
      <c r="S266" s="49">
        <v>0.1</v>
      </c>
      <c r="T266" s="33">
        <f>ROUND((L266*I262+1.3*L266*K262+S266*H262),4)</f>
        <v>157.53749999999999</v>
      </c>
      <c r="U266" s="33">
        <f>ROUND((M266*0.9*I262+1.3*M266*0.9*K262+S266*H262),4)</f>
        <v>209.06030000000001</v>
      </c>
      <c r="V266" s="33">
        <f>ROUND((M266*I262+1.3*M266*K262+S266*H262),4)</f>
        <v>231.6225</v>
      </c>
      <c r="W266" s="33">
        <f>ROUND((L266*J262+1.3*L266*N262+S266*G262),4)</f>
        <v>12.75</v>
      </c>
      <c r="X266" s="33">
        <f>ROUND((M266*0.9*J262+1.3*M266*0.9*N262+S266*G262),4)</f>
        <v>16.881</v>
      </c>
      <c r="Y266" s="33">
        <f>ROUND((M266*J262+1.3*M266*N262+S266*G262),4)</f>
        <v>18.690000000000001</v>
      </c>
      <c r="Z266" s="43">
        <f>ROUND((P262*T266*F262*O262/1000000),4)</f>
        <v>0</v>
      </c>
      <c r="AA266" s="43">
        <f>ROUND((Q262*U266*F262*O262/1000000),4)</f>
        <v>1.2500000000000001E-2</v>
      </c>
      <c r="AB266" s="43">
        <f>ROUND((R262*V266*F262*O262/1000000),4)</f>
        <v>1.3899999999999999E-2</v>
      </c>
      <c r="AC266" s="44" t="s">
        <v>170</v>
      </c>
      <c r="AD266" s="45" t="s">
        <v>119</v>
      </c>
      <c r="AE266" s="30">
        <f>ROUND((((X266*E262)/1800)),4)</f>
        <v>9.4000000000000004E-3</v>
      </c>
      <c r="AF266" s="30">
        <f>ROUND(((Z266+AA266+AB266)),4)</f>
        <v>2.64E-2</v>
      </c>
      <c r="AG266" s="50"/>
      <c r="AH266" s="50"/>
    </row>
    <row r="267" spans="1:34" ht="12.95" customHeight="1" x14ac:dyDescent="0.25">
      <c r="A267" s="36"/>
      <c r="B267" s="41"/>
      <c r="C267" s="41"/>
      <c r="D267" s="37"/>
      <c r="E267" s="37"/>
      <c r="F267" s="37"/>
      <c r="G267" s="37"/>
      <c r="H267" s="37"/>
      <c r="I267" s="37"/>
      <c r="J267" s="37"/>
      <c r="K267" s="37"/>
      <c r="L267" s="40">
        <v>2.09</v>
      </c>
      <c r="M267" s="40">
        <v>2.5499999999999998</v>
      </c>
      <c r="N267" s="37"/>
      <c r="O267" s="37"/>
      <c r="P267" s="37"/>
      <c r="Q267" s="37"/>
      <c r="R267" s="37"/>
      <c r="S267" s="49">
        <v>3.91</v>
      </c>
      <c r="T267" s="33">
        <f>ROUND((L267*I262+1.3*L267*K262+S267*H262),4)</f>
        <v>938.40750000000003</v>
      </c>
      <c r="U267" s="33">
        <f>ROUND((M267*0.9*I262+1.3*M267*0.9*K262+S267*H262),4)</f>
        <v>1007.4413</v>
      </c>
      <c r="V267" s="33">
        <f>ROUND((M267*I262+1.3*M267*K262+S267*H262),4)</f>
        <v>1093.3125</v>
      </c>
      <c r="W267" s="33">
        <f>ROUND((L267*J262+1.3*L267*N262+S267*G262),4)</f>
        <v>79.89</v>
      </c>
      <c r="X267" s="33">
        <f>ROUND((M267*0.9*J262+1.3*M267*0.9*N262+S267*G262),4)</f>
        <v>85.424999999999997</v>
      </c>
      <c r="Y267" s="33">
        <f>ROUND((M267*J262+1.3*M267*N262+S267*G262),4)</f>
        <v>92.31</v>
      </c>
      <c r="Z267" s="43">
        <f>ROUND((P262*T267*F262*O262/1000000),4)</f>
        <v>0</v>
      </c>
      <c r="AA267" s="43">
        <f>ROUND((Q262*U267*F262*O262/1000000),4)</f>
        <v>6.0400000000000002E-2</v>
      </c>
      <c r="AB267" s="43">
        <f>ROUND((R262*V267*F262*O262/1000000),4)</f>
        <v>6.5600000000000006E-2</v>
      </c>
      <c r="AC267" s="44" t="s">
        <v>171</v>
      </c>
      <c r="AD267" s="45" t="s">
        <v>104</v>
      </c>
      <c r="AE267" s="30">
        <f>ROUND((((X267*E262)/1800)),4)</f>
        <v>4.7500000000000001E-2</v>
      </c>
      <c r="AF267" s="30">
        <f>ROUND(((Z267+AA267+AB267)),4)</f>
        <v>0.126</v>
      </c>
      <c r="AG267" s="50"/>
      <c r="AH267" s="50"/>
    </row>
    <row r="268" spans="1:34" ht="12.95" customHeight="1" x14ac:dyDescent="0.25">
      <c r="A268" s="36"/>
      <c r="B268" s="31" t="s">
        <v>200</v>
      </c>
      <c r="C268" s="31">
        <v>5</v>
      </c>
      <c r="D268" s="32" t="s">
        <v>173</v>
      </c>
      <c r="E268" s="32">
        <v>1</v>
      </c>
      <c r="F268" s="32">
        <v>1</v>
      </c>
      <c r="G268" s="32">
        <v>6</v>
      </c>
      <c r="H268" s="32">
        <v>60</v>
      </c>
      <c r="I268" s="32">
        <f>(8-1-0.75*2)*60*F268-K268-8*0.12*60</f>
        <v>57.900000000000006</v>
      </c>
      <c r="J268" s="32">
        <v>14</v>
      </c>
      <c r="K268" s="32">
        <f>(8-1-0.75*2)*0.65*60*F268</f>
        <v>214.5</v>
      </c>
      <c r="L268" s="33">
        <v>4.01</v>
      </c>
      <c r="M268" s="33">
        <v>4.01</v>
      </c>
      <c r="N268" s="32">
        <v>10</v>
      </c>
      <c r="O268" s="32">
        <f>E268/F268</f>
        <v>1</v>
      </c>
      <c r="P268" s="32">
        <v>0</v>
      </c>
      <c r="Q268" s="32">
        <v>15</v>
      </c>
      <c r="R268" s="42">
        <v>15</v>
      </c>
      <c r="S268" s="42">
        <v>0.78</v>
      </c>
      <c r="T268" s="33">
        <f>ROUND((L268*I268+1.3*L268*K268+S268*H268),4)</f>
        <v>1397.1675</v>
      </c>
      <c r="U268" s="33">
        <f>ROUND((M268*I268+1.3*M268*K268+S268*H268),4)</f>
        <v>1397.1675</v>
      </c>
      <c r="V268" s="33">
        <f>ROUND((M268*I268+1.3*M268*K268+S268*H268),4)</f>
        <v>1397.1675</v>
      </c>
      <c r="W268" s="33">
        <f>ROUND((L268*J268+1.3*L268*N268+S268*G268),4)</f>
        <v>112.95</v>
      </c>
      <c r="X268" s="33">
        <f>ROUND((M268*J268+1.3*M268*N268+S268*G268),4)</f>
        <v>112.95</v>
      </c>
      <c r="Y268" s="33">
        <f>ROUND((M268*J268+1.3*M268*N268+S268*G268),4)</f>
        <v>112.95</v>
      </c>
      <c r="Z268" s="43">
        <f>ROUND((P268*T268*F268*O268/1000000),4)</f>
        <v>0</v>
      </c>
      <c r="AA268" s="43">
        <f>ROUND((Q268*U268*F268*O268/1000000),4)</f>
        <v>2.1000000000000001E-2</v>
      </c>
      <c r="AB268" s="43">
        <f>ROUND((R268*V268*F268*O268/1000000),4)</f>
        <v>2.1000000000000001E-2</v>
      </c>
      <c r="AC268" s="44" t="s">
        <v>111</v>
      </c>
      <c r="AD268" s="45" t="s">
        <v>95</v>
      </c>
      <c r="AE268" s="30">
        <f>ROUND((((X268*E268)/1800)*0.8),4)</f>
        <v>5.0200000000000002E-2</v>
      </c>
      <c r="AF268" s="30">
        <f>ROUND(((Z268+AA268+AB268)*0.8),4)</f>
        <v>3.3599999999999998E-2</v>
      </c>
      <c r="AG268" s="50"/>
      <c r="AH268" s="50"/>
    </row>
    <row r="269" spans="1:34" ht="12.95" customHeight="1" x14ac:dyDescent="0.25">
      <c r="A269" s="36"/>
      <c r="B269" s="34" t="s">
        <v>201</v>
      </c>
      <c r="C269" s="35"/>
      <c r="D269" s="36"/>
      <c r="E269" s="36"/>
      <c r="F269" s="36"/>
      <c r="G269" s="36"/>
      <c r="H269" s="36"/>
      <c r="I269" s="36"/>
      <c r="J269" s="36"/>
      <c r="K269" s="36"/>
      <c r="L269" s="37"/>
      <c r="M269" s="37"/>
      <c r="N269" s="36"/>
      <c r="O269" s="36"/>
      <c r="P269" s="36"/>
      <c r="Q269" s="36"/>
      <c r="R269" s="36"/>
      <c r="S269" s="46"/>
      <c r="T269" s="47"/>
      <c r="U269" s="47"/>
      <c r="V269" s="47"/>
      <c r="W269" s="47"/>
      <c r="X269" s="47"/>
      <c r="Y269" s="47"/>
      <c r="Z269" s="47"/>
      <c r="AA269" s="47"/>
      <c r="AB269" s="47"/>
      <c r="AC269" s="44" t="s">
        <v>112</v>
      </c>
      <c r="AD269" s="45" t="s">
        <v>113</v>
      </c>
      <c r="AE269" s="30">
        <f>ROUND((((X268*E268)/1800)*0.13),4)</f>
        <v>8.2000000000000007E-3</v>
      </c>
      <c r="AF269" s="30">
        <f>ROUND(((Z268+AA268+AB268)*0.13),4)</f>
        <v>5.4999999999999997E-3</v>
      </c>
      <c r="AG269" s="50"/>
      <c r="AH269" s="50"/>
    </row>
    <row r="270" spans="1:34" ht="12.95" customHeight="1" x14ac:dyDescent="0.25">
      <c r="A270" s="36"/>
      <c r="B270" s="35"/>
      <c r="C270" s="38"/>
      <c r="D270" s="39"/>
      <c r="E270" s="36"/>
      <c r="F270" s="36"/>
      <c r="G270" s="36"/>
      <c r="H270" s="36"/>
      <c r="I270" s="36"/>
      <c r="J270" s="36"/>
      <c r="K270" s="36"/>
      <c r="L270" s="40">
        <v>0.31</v>
      </c>
      <c r="M270" s="40">
        <v>0.38</v>
      </c>
      <c r="N270" s="36"/>
      <c r="O270" s="36"/>
      <c r="P270" s="36"/>
      <c r="Q270" s="36"/>
      <c r="R270" s="36"/>
      <c r="S270" s="48">
        <v>0.16</v>
      </c>
      <c r="T270" s="33">
        <f>ROUND((L270*I268+1.3*L270*K268+S270*H268),4)</f>
        <v>113.99250000000001</v>
      </c>
      <c r="U270" s="33">
        <f>ROUND((M270*0.9*I268+1.3*M270*0.9*K268+S270*H268),4)</f>
        <v>124.7685</v>
      </c>
      <c r="V270" s="33">
        <f>ROUND((M270*I268+1.3*M270*K268+S270*H268),4)</f>
        <v>137.565</v>
      </c>
      <c r="W270" s="33">
        <f>ROUND((L270*J268+1.3*L270*N268+S270*G268),4)</f>
        <v>9.33</v>
      </c>
      <c r="X270" s="33">
        <f>ROUND((M270*0.9*J268+1.3*M270*0.9*N268+S270*G268),4)</f>
        <v>10.194000000000001</v>
      </c>
      <c r="Y270" s="33">
        <f>ROUND((M270*J268+1.3*M270*N268+S270*G268),4)</f>
        <v>11.22</v>
      </c>
      <c r="Z270" s="43">
        <f>ROUND((P268*T270*F268*O268/1000000),4)</f>
        <v>0</v>
      </c>
      <c r="AA270" s="43">
        <f>ROUND((Q268*U270*F268*O268/1000000),4)</f>
        <v>1.9E-3</v>
      </c>
      <c r="AB270" s="43">
        <f>ROUND((R268*V270*F268*O268/1000000),4)</f>
        <v>2.0999999999999999E-3</v>
      </c>
      <c r="AC270" s="44" t="s">
        <v>167</v>
      </c>
      <c r="AD270" s="45" t="s">
        <v>115</v>
      </c>
      <c r="AE270" s="30">
        <f>ROUND((((X270*E268)/1800)),4)</f>
        <v>5.7000000000000002E-3</v>
      </c>
      <c r="AF270" s="30">
        <f>ROUND(((Z270+AA270+AB270)),5)</f>
        <v>4.0000000000000001E-3</v>
      </c>
      <c r="AG270" s="50"/>
      <c r="AH270" s="50"/>
    </row>
    <row r="271" spans="1:34" ht="12.95" customHeight="1" x14ac:dyDescent="0.25">
      <c r="A271" s="36"/>
      <c r="B271" s="35"/>
      <c r="C271" s="35"/>
      <c r="D271" s="36"/>
      <c r="E271" s="36"/>
      <c r="F271" s="36"/>
      <c r="G271" s="36"/>
      <c r="H271" s="36"/>
      <c r="I271" s="36"/>
      <c r="J271" s="36"/>
      <c r="K271" s="36"/>
      <c r="L271" s="40">
        <v>0.71</v>
      </c>
      <c r="M271" s="40">
        <v>0.85</v>
      </c>
      <c r="N271" s="36"/>
      <c r="O271" s="36"/>
      <c r="P271" s="36"/>
      <c r="Q271" s="36"/>
      <c r="R271" s="36"/>
      <c r="S271" s="49">
        <v>0.49</v>
      </c>
      <c r="T271" s="33">
        <f>ROUND((L271*I268+1.3*L271*K268+S271*H268),4)</f>
        <v>268.49250000000001</v>
      </c>
      <c r="U271" s="33">
        <f>ROUND((M271*0.9*I268+1.3*M271*0.9*K268+S271*H268),4)</f>
        <v>287.0138</v>
      </c>
      <c r="V271" s="33">
        <f>ROUND((M271*I268+1.3*M271*K268+S271*H268),4)</f>
        <v>315.63749999999999</v>
      </c>
      <c r="W271" s="33">
        <f>ROUND((L271*J268+1.3*L271*N268+S271*G268),4)</f>
        <v>22.11</v>
      </c>
      <c r="X271" s="33">
        <f>ROUND((M271*0.9*J268+1.3*M271*0.9*N268+S271*G268),4)</f>
        <v>23.594999999999999</v>
      </c>
      <c r="Y271" s="33">
        <f>ROUND((M271*J268+1.3*N268+S271*G268),4)</f>
        <v>27.84</v>
      </c>
      <c r="Z271" s="43">
        <f>ROUND((P268*T271*F268*O268/1000000),4)</f>
        <v>0</v>
      </c>
      <c r="AA271" s="43">
        <f>ROUND((Q268*U271*F268*O268/1000000),4)</f>
        <v>4.3E-3</v>
      </c>
      <c r="AB271" s="43">
        <f>ROUND((R268*V271*F268*O268/1000000),4)</f>
        <v>4.7000000000000002E-3</v>
      </c>
      <c r="AC271" s="44" t="s">
        <v>168</v>
      </c>
      <c r="AD271" s="45" t="s">
        <v>169</v>
      </c>
      <c r="AE271" s="30">
        <f>ROUND((((X271*E268)/1800)),4)</f>
        <v>1.3100000000000001E-2</v>
      </c>
      <c r="AF271" s="30">
        <f>ROUND(((Z271+AA271+AB271)),4)</f>
        <v>8.9999999999999993E-3</v>
      </c>
      <c r="AG271" s="50"/>
      <c r="AH271" s="50"/>
    </row>
    <row r="272" spans="1:34" ht="12.95" customHeight="1" x14ac:dyDescent="0.25">
      <c r="A272" s="36"/>
      <c r="B272" s="35"/>
      <c r="C272" s="35"/>
      <c r="D272" s="36"/>
      <c r="E272" s="36"/>
      <c r="F272" s="36"/>
      <c r="G272" s="36"/>
      <c r="H272" s="36"/>
      <c r="I272" s="36"/>
      <c r="J272" s="36"/>
      <c r="K272" s="36"/>
      <c r="L272" s="40">
        <v>0.45</v>
      </c>
      <c r="M272" s="40">
        <v>0.67</v>
      </c>
      <c r="N272" s="36"/>
      <c r="O272" s="36"/>
      <c r="P272" s="36"/>
      <c r="Q272" s="36"/>
      <c r="R272" s="36"/>
      <c r="S272" s="49">
        <v>0.1</v>
      </c>
      <c r="T272" s="33">
        <f>ROUND((L272*I268+1.3*L272*K268+S272*H268),4)</f>
        <v>157.53749999999999</v>
      </c>
      <c r="U272" s="33">
        <f>ROUND((M272*0.9*I268+1.3*M272*0.9*K268+S272*H268),4)</f>
        <v>209.06030000000001</v>
      </c>
      <c r="V272" s="33">
        <f>ROUND((M272*I268+1.3*M272*K268+S272*H268),4)</f>
        <v>231.6225</v>
      </c>
      <c r="W272" s="33">
        <f>ROUND((L272*J268+1.3*L272*N268+S272*G268),4)</f>
        <v>12.75</v>
      </c>
      <c r="X272" s="33">
        <f>ROUND((M272*0.9*J268+1.3*M272*0.9*N268+S272*G268),4)</f>
        <v>16.881</v>
      </c>
      <c r="Y272" s="33">
        <f>ROUND((M272*J268+1.3*M272*N268+S272*G268),4)</f>
        <v>18.690000000000001</v>
      </c>
      <c r="Z272" s="43">
        <f>ROUND((P268*T272*F268*O268/1000000),4)</f>
        <v>0</v>
      </c>
      <c r="AA272" s="43">
        <f>ROUND((Q268*U272*F268*O268/1000000),4)</f>
        <v>3.0999999999999999E-3</v>
      </c>
      <c r="AB272" s="43">
        <f>ROUND((R268*V272*F268*O268/1000000),4)</f>
        <v>3.5000000000000001E-3</v>
      </c>
      <c r="AC272" s="44" t="s">
        <v>170</v>
      </c>
      <c r="AD272" s="45" t="s">
        <v>119</v>
      </c>
      <c r="AE272" s="30">
        <f>ROUND((((X272*E268)/1800)),4)</f>
        <v>9.4000000000000004E-3</v>
      </c>
      <c r="AF272" s="30">
        <f>ROUND(((Z272+AA272+AB272)),4)</f>
        <v>6.6E-3</v>
      </c>
      <c r="AG272" s="50"/>
      <c r="AH272" s="50"/>
    </row>
    <row r="273" spans="1:36" ht="12.95" customHeight="1" x14ac:dyDescent="0.25">
      <c r="A273" s="36"/>
      <c r="B273" s="41"/>
      <c r="C273" s="41"/>
      <c r="D273" s="37"/>
      <c r="E273" s="37"/>
      <c r="F273" s="37"/>
      <c r="G273" s="37"/>
      <c r="H273" s="37"/>
      <c r="I273" s="37"/>
      <c r="J273" s="37"/>
      <c r="K273" s="37"/>
      <c r="L273" s="40">
        <v>2.09</v>
      </c>
      <c r="M273" s="40">
        <v>2.5499999999999998</v>
      </c>
      <c r="N273" s="37"/>
      <c r="O273" s="37"/>
      <c r="P273" s="37"/>
      <c r="Q273" s="37"/>
      <c r="R273" s="37"/>
      <c r="S273" s="49">
        <v>3.91</v>
      </c>
      <c r="T273" s="33">
        <f>ROUND((L273*I268+1.3*L273*K268+S273*H268),4)</f>
        <v>938.40750000000003</v>
      </c>
      <c r="U273" s="33">
        <f>ROUND((M273*0.9*I268+1.3*M273*0.9*K268+S273*H268),4)</f>
        <v>1007.4413</v>
      </c>
      <c r="V273" s="33">
        <f>ROUND((M273*I268+1.3*M273*K268+S273*H268),4)</f>
        <v>1093.3125</v>
      </c>
      <c r="W273" s="33">
        <f>ROUND((L273*J268+1.3*L273*N268+S273*G268),4)</f>
        <v>79.89</v>
      </c>
      <c r="X273" s="33">
        <f>ROUND((M273*0.9*J268+1.3*M273*0.9*N268+S273*G268),4)</f>
        <v>85.424999999999997</v>
      </c>
      <c r="Y273" s="33">
        <f>ROUND((M273*J268+1.3*M273*N268+S273*G268),4)</f>
        <v>92.31</v>
      </c>
      <c r="Z273" s="43">
        <f>ROUND((P268*T273*F268*O268/1000000),4)</f>
        <v>0</v>
      </c>
      <c r="AA273" s="43">
        <f>ROUND((Q268*U273*F268*O268/1000000),4)</f>
        <v>1.5100000000000001E-2</v>
      </c>
      <c r="AB273" s="43">
        <f>ROUND((R268*V273*F268*O268/1000000),4)</f>
        <v>1.6400000000000001E-2</v>
      </c>
      <c r="AC273" s="44" t="s">
        <v>171</v>
      </c>
      <c r="AD273" s="45" t="s">
        <v>104</v>
      </c>
      <c r="AE273" s="30">
        <f>ROUND((((X273*E268)/1800)),4)</f>
        <v>4.7500000000000001E-2</v>
      </c>
      <c r="AF273" s="30">
        <f>ROUND(((Z273+AA273+AB273)),4)</f>
        <v>3.15E-2</v>
      </c>
      <c r="AG273" s="50"/>
      <c r="AH273" s="50"/>
    </row>
    <row r="274" spans="1:36" ht="12.95" customHeight="1" x14ac:dyDescent="0.25">
      <c r="A274" s="36"/>
      <c r="B274" s="50" t="s">
        <v>177</v>
      </c>
      <c r="C274" s="31">
        <v>7</v>
      </c>
      <c r="D274" s="32" t="s">
        <v>179</v>
      </c>
      <c r="E274" s="32">
        <v>1</v>
      </c>
      <c r="F274" s="32">
        <v>1</v>
      </c>
      <c r="G274" s="32">
        <v>6</v>
      </c>
      <c r="H274" s="32">
        <v>60</v>
      </c>
      <c r="I274" s="32">
        <f>(8-1-0.75*2)*60*F274-K274-8*0.12*60</f>
        <v>57.900000000000006</v>
      </c>
      <c r="J274" s="32">
        <v>14</v>
      </c>
      <c r="K274" s="32">
        <f>(8-1-0.75*2)*0.65*60*F274</f>
        <v>214.5</v>
      </c>
      <c r="L274" s="33">
        <v>10.16</v>
      </c>
      <c r="M274" s="33">
        <v>10.16</v>
      </c>
      <c r="N274" s="32">
        <v>10</v>
      </c>
      <c r="O274" s="32">
        <f>E274/F274</f>
        <v>1</v>
      </c>
      <c r="P274" s="32">
        <v>0</v>
      </c>
      <c r="Q274" s="32">
        <v>30</v>
      </c>
      <c r="R274" s="42">
        <v>30</v>
      </c>
      <c r="S274" s="42">
        <v>1.99</v>
      </c>
      <c r="T274" s="33">
        <f>ROUND((L274*I274+1.3*L274*K274+S274*H274),4)</f>
        <v>3540.78</v>
      </c>
      <c r="U274" s="33">
        <f>ROUND((M274*I274+1.3*M274*K274+S274*H274),4)</f>
        <v>3540.78</v>
      </c>
      <c r="V274" s="33">
        <f>ROUND((M274*I274+1.3*M274*K274+S274*H274),4)</f>
        <v>3540.78</v>
      </c>
      <c r="W274" s="33">
        <f>ROUND((L274*J274+1.3*L274*N274+S274*G274),4)</f>
        <v>286.26</v>
      </c>
      <c r="X274" s="33">
        <f>ROUND((M274*J274+1.3*M274*N274+S274*G274),4)</f>
        <v>286.26</v>
      </c>
      <c r="Y274" s="33">
        <f>ROUND((M274*J274+1.3*M274*N274+S274*G274),4)</f>
        <v>286.26</v>
      </c>
      <c r="Z274" s="43">
        <f>ROUND((P274*T274*F274*O274/1000000),4)</f>
        <v>0</v>
      </c>
      <c r="AA274" s="43">
        <f>ROUND((Q274*U274*F274*O274/1000000),4)</f>
        <v>0.1062</v>
      </c>
      <c r="AB274" s="43">
        <f>ROUND((R274*V274*F274*O274/1000000),4)</f>
        <v>0.1062</v>
      </c>
      <c r="AC274" s="44" t="s">
        <v>111</v>
      </c>
      <c r="AD274" s="45" t="s">
        <v>95</v>
      </c>
      <c r="AE274" s="30">
        <f>ROUND((((X274*E274)/1800)*0.8),4)</f>
        <v>0.12720000000000001</v>
      </c>
      <c r="AF274" s="30">
        <f>ROUND(((Z274+AA274+AB274)*0.8),4)</f>
        <v>0.1699</v>
      </c>
      <c r="AG274" s="50"/>
      <c r="AH274" s="50"/>
      <c r="AI274" s="1"/>
      <c r="AJ274" s="1"/>
    </row>
    <row r="275" spans="1:36" ht="12.95" customHeight="1" x14ac:dyDescent="0.25">
      <c r="A275" s="36"/>
      <c r="B275" s="35" t="s">
        <v>180</v>
      </c>
      <c r="C275" s="36"/>
      <c r="D275" s="36"/>
      <c r="E275" s="36"/>
      <c r="F275" s="36"/>
      <c r="G275" s="36"/>
      <c r="H275" s="36"/>
      <c r="I275" s="36"/>
      <c r="J275" s="36"/>
      <c r="K275" s="36"/>
      <c r="L275" s="37"/>
      <c r="M275" s="37"/>
      <c r="N275" s="36"/>
      <c r="O275" s="36"/>
      <c r="P275" s="36"/>
      <c r="Q275" s="36"/>
      <c r="R275" s="36"/>
      <c r="S275" s="46"/>
      <c r="T275" s="47"/>
      <c r="U275" s="47"/>
      <c r="V275" s="47"/>
      <c r="W275" s="47"/>
      <c r="X275" s="47"/>
      <c r="Y275" s="47"/>
      <c r="Z275" s="47"/>
      <c r="AA275" s="47"/>
      <c r="AB275" s="47"/>
      <c r="AC275" s="44" t="s">
        <v>112</v>
      </c>
      <c r="AD275" s="45" t="s">
        <v>113</v>
      </c>
      <c r="AE275" s="30">
        <f>ROUND((((X274*E274)/1800)*0.13),4)</f>
        <v>2.07E-2</v>
      </c>
      <c r="AF275" s="30">
        <f>ROUND(((Z274+AA274+AB274)*0.13),4)</f>
        <v>2.76E-2</v>
      </c>
      <c r="AG275" s="50"/>
      <c r="AH275" s="50"/>
      <c r="AI275" s="1"/>
      <c r="AJ275" s="1"/>
    </row>
    <row r="276" spans="1:36" ht="12.95" customHeight="1" x14ac:dyDescent="0.25">
      <c r="A276" s="36"/>
      <c r="C276" s="39"/>
      <c r="D276" s="39"/>
      <c r="E276" s="36"/>
      <c r="F276" s="36"/>
      <c r="G276" s="36"/>
      <c r="H276" s="36"/>
      <c r="I276" s="36"/>
      <c r="J276" s="36"/>
      <c r="K276" s="36"/>
      <c r="L276" s="40">
        <v>0.8</v>
      </c>
      <c r="M276" s="40">
        <v>0.98</v>
      </c>
      <c r="N276" s="36"/>
      <c r="O276" s="36"/>
      <c r="P276" s="36"/>
      <c r="Q276" s="36"/>
      <c r="R276" s="36"/>
      <c r="S276" s="48">
        <v>0.39</v>
      </c>
      <c r="T276" s="33">
        <f>ROUND((L276*I274+1.3*L276*K274+S276*H274),4)</f>
        <v>292.8</v>
      </c>
      <c r="U276" s="33">
        <f>ROUND((M276*0.9*I274+1.3*M276*0.9*K274+S276*H274),4)</f>
        <v>320.4135</v>
      </c>
      <c r="V276" s="33">
        <f>ROUND((M276*I274+1.3*M276*K274+S276*H274),4)</f>
        <v>353.41500000000002</v>
      </c>
      <c r="W276" s="33">
        <f>ROUND((L276*J274+1.3*L276*N274+S276*G274),4)</f>
        <v>23.94</v>
      </c>
      <c r="X276" s="33">
        <f>ROUND((M276*0.9*J274+1.3*M276*0.9*N274+S276*G274),4)</f>
        <v>26.154</v>
      </c>
      <c r="Y276" s="33">
        <f>ROUND((M276*J274+1.3*M276*N274+S276*G274),4)</f>
        <v>28.8</v>
      </c>
      <c r="Z276" s="43">
        <f>ROUND((P274*T276*F274*O274/1000000),4)</f>
        <v>0</v>
      </c>
      <c r="AA276" s="43">
        <f>ROUND((Q274*U276*F274*O274/1000000),4)</f>
        <v>9.5999999999999992E-3</v>
      </c>
      <c r="AB276" s="43">
        <f>ROUND((R274*V276*F274*O274/1000000),4)</f>
        <v>1.06E-2</v>
      </c>
      <c r="AC276" s="44" t="s">
        <v>167</v>
      </c>
      <c r="AD276" s="45" t="s">
        <v>115</v>
      </c>
      <c r="AE276" s="30">
        <f>ROUND((((X276*E274)/1800)),4)</f>
        <v>1.4500000000000001E-2</v>
      </c>
      <c r="AF276" s="30">
        <f>ROUND(((Z276+AA276+AB276)),5)</f>
        <v>2.0199999999999999E-2</v>
      </c>
      <c r="AG276" s="50"/>
      <c r="AH276" s="50"/>
      <c r="AI276" s="1"/>
      <c r="AJ276" s="1"/>
    </row>
    <row r="277" spans="1:36" ht="12.95" customHeight="1" x14ac:dyDescent="0.25">
      <c r="A277" s="36"/>
      <c r="C277" s="36"/>
      <c r="D277" s="36"/>
      <c r="E277" s="36"/>
      <c r="F277" s="36"/>
      <c r="G277" s="36"/>
      <c r="H277" s="36"/>
      <c r="I277" s="36"/>
      <c r="J277" s="36"/>
      <c r="K277" s="36"/>
      <c r="L277" s="40">
        <v>1.79</v>
      </c>
      <c r="M277" s="40">
        <v>2.15</v>
      </c>
      <c r="N277" s="36"/>
      <c r="O277" s="36"/>
      <c r="P277" s="36"/>
      <c r="Q277" s="36"/>
      <c r="R277" s="36"/>
      <c r="S277" s="49">
        <v>1.24</v>
      </c>
      <c r="T277" s="33">
        <f>ROUND((L277*I274+1.3*L277*K274+S277*H274),4)</f>
        <v>677.1825</v>
      </c>
      <c r="U277" s="33">
        <f>ROUND((M277*0.9*I274+1.3*M277*0.9*K274+S277*H274),4)</f>
        <v>726.01130000000001</v>
      </c>
      <c r="V277" s="33">
        <f>ROUND((M277*I274+1.3*M277*K274+S277*H274),4)</f>
        <v>798.41250000000002</v>
      </c>
      <c r="W277" s="33">
        <f>ROUND((L277*J274+1.3*L277*N274+S277*G274),4)</f>
        <v>55.77</v>
      </c>
      <c r="X277" s="33">
        <f>ROUND((M277*0.9*J274+1.3*M277*0.9*N274+S277*G274),4)</f>
        <v>59.685000000000002</v>
      </c>
      <c r="Y277" s="33">
        <f>ROUND((M277*J274+1.3*N274+S277*G274),4)</f>
        <v>50.54</v>
      </c>
      <c r="Z277" s="43">
        <f>ROUND((P274*T277*F274*O274/1000000),4)</f>
        <v>0</v>
      </c>
      <c r="AA277" s="43">
        <f>ROUND((Q274*U277*F274*O274/1000000),4)</f>
        <v>2.18E-2</v>
      </c>
      <c r="AB277" s="43">
        <f>ROUND((R274*V277*F274*O274/1000000),4)</f>
        <v>2.4E-2</v>
      </c>
      <c r="AC277" s="44" t="s">
        <v>168</v>
      </c>
      <c r="AD277" s="45" t="s">
        <v>169</v>
      </c>
      <c r="AE277" s="30">
        <f>ROUND((((X277*E274)/1800)),4)</f>
        <v>3.32E-2</v>
      </c>
      <c r="AF277" s="30">
        <f>ROUND(((Z277+AA277+AB277)),4)</f>
        <v>4.58E-2</v>
      </c>
      <c r="AG277" s="50"/>
      <c r="AH277" s="50"/>
      <c r="AI277" s="1"/>
      <c r="AJ277" s="1"/>
    </row>
    <row r="278" spans="1:36" ht="12.95" customHeight="1" x14ac:dyDescent="0.25">
      <c r="A278" s="36"/>
      <c r="B278" s="35"/>
      <c r="C278" s="36"/>
      <c r="D278" s="36"/>
      <c r="E278" s="36"/>
      <c r="F278" s="36"/>
      <c r="G278" s="36"/>
      <c r="H278" s="36"/>
      <c r="I278" s="36"/>
      <c r="J278" s="36"/>
      <c r="K278" s="36"/>
      <c r="L278" s="40">
        <v>1.1299999999999999</v>
      </c>
      <c r="M278" s="40">
        <v>1.7</v>
      </c>
      <c r="N278" s="36"/>
      <c r="O278" s="36"/>
      <c r="P278" s="36"/>
      <c r="Q278" s="36"/>
      <c r="R278" s="36"/>
      <c r="S278" s="49">
        <v>0.26</v>
      </c>
      <c r="T278" s="33">
        <f>ROUND((L278*I274+1.3*L278*K274+S278*H274),4)</f>
        <v>396.1275</v>
      </c>
      <c r="U278" s="33">
        <f>ROUND((M278*0.9*I274+1.3*M278*0.9*K274+S278*H274),4)</f>
        <v>530.82749999999999</v>
      </c>
      <c r="V278" s="33">
        <f>ROUND((M278*I274+1.3*M278*K274+S278*H274),4)</f>
        <v>588.07500000000005</v>
      </c>
      <c r="W278" s="33">
        <f>ROUND((L278*J274+1.3*L278*N274+S278*G274),4)</f>
        <v>32.07</v>
      </c>
      <c r="X278" s="33">
        <f>ROUND((M278*0.9*J274+1.3*M278*0.9*N274+S278*G274),4)</f>
        <v>42.87</v>
      </c>
      <c r="Y278" s="33">
        <f>ROUND((M278*J274+1.3*M278*N274+S278*G274),4)</f>
        <v>47.46</v>
      </c>
      <c r="Z278" s="43">
        <f>ROUND((P274*T278*F274*O274/1000000),4)</f>
        <v>0</v>
      </c>
      <c r="AA278" s="43">
        <f>ROUND((Q274*U278*F274*O274/1000000),4)</f>
        <v>1.5900000000000001E-2</v>
      </c>
      <c r="AB278" s="43">
        <f>ROUND((R274*V278*F274*O274/1000000),4)</f>
        <v>1.7600000000000001E-2</v>
      </c>
      <c r="AC278" s="44" t="s">
        <v>170</v>
      </c>
      <c r="AD278" s="45" t="s">
        <v>119</v>
      </c>
      <c r="AE278" s="30">
        <f>ROUND((((X278*E274)/1800)),4)</f>
        <v>2.3800000000000002E-2</v>
      </c>
      <c r="AF278" s="30">
        <f>ROUND(((Z278+AA278+AB278)),4)</f>
        <v>3.3500000000000002E-2</v>
      </c>
      <c r="AG278" s="50"/>
      <c r="AH278" s="50"/>
      <c r="AI278" s="1"/>
      <c r="AJ278" s="1"/>
    </row>
    <row r="279" spans="1:36" ht="12.95" customHeight="1" x14ac:dyDescent="0.25">
      <c r="A279" s="36"/>
      <c r="B279" s="41"/>
      <c r="C279" s="37"/>
      <c r="D279" s="37"/>
      <c r="E279" s="37"/>
      <c r="F279" s="37"/>
      <c r="G279" s="37"/>
      <c r="H279" s="37"/>
      <c r="I279" s="37"/>
      <c r="J279" s="37"/>
      <c r="K279" s="37"/>
      <c r="L279" s="40">
        <v>5.3</v>
      </c>
      <c r="M279" s="40">
        <v>6.47</v>
      </c>
      <c r="N279" s="37"/>
      <c r="O279" s="37"/>
      <c r="P279" s="37"/>
      <c r="Q279" s="37"/>
      <c r="R279" s="37"/>
      <c r="S279" s="49">
        <v>9.92</v>
      </c>
      <c r="T279" s="33">
        <f>ROUND((L279*I274+1.3*L279*K274+S279*H274),4)</f>
        <v>2379.9749999999999</v>
      </c>
      <c r="U279" s="33">
        <f>ROUND((M279*0.9*I274+1.3*M279*0.9*K274+S279*H274),4)</f>
        <v>2556.0953</v>
      </c>
      <c r="V279" s="33">
        <f>ROUND((M279*I274+1.3*M279*K274+S279*H274),4)</f>
        <v>2773.9724999999999</v>
      </c>
      <c r="W279" s="33">
        <f>ROUND((L279*J274+1.3*L279*N274+S279*G274),4)</f>
        <v>202.62</v>
      </c>
      <c r="X279" s="33">
        <f>ROUND((M279*0.9*J274+1.3*M279*0.9*N274+S279*G274),4)</f>
        <v>216.74100000000001</v>
      </c>
      <c r="Y279" s="33">
        <f>ROUND((M279*J274+1.3*M279*N274+S279*G274),4)</f>
        <v>234.21</v>
      </c>
      <c r="Z279" s="43">
        <f>ROUND((P274*T279*F274*O274/1000000),4)</f>
        <v>0</v>
      </c>
      <c r="AA279" s="43">
        <f>ROUND((Q274*U279*F274*O274/1000000),4)</f>
        <v>7.6700000000000004E-2</v>
      </c>
      <c r="AB279" s="43">
        <f>ROUND((R274*V279*F274*O274/1000000),4)</f>
        <v>8.3199999999999996E-2</v>
      </c>
      <c r="AC279" s="44" t="s">
        <v>171</v>
      </c>
      <c r="AD279" s="45" t="s">
        <v>104</v>
      </c>
      <c r="AE279" s="30">
        <f>ROUND((((X279*E274)/1800)),4)</f>
        <v>0.12039999999999999</v>
      </c>
      <c r="AF279" s="30">
        <f>ROUND(((Z279+AA279+AB279)),4)</f>
        <v>0.15989999999999999</v>
      </c>
      <c r="AG279" s="50"/>
      <c r="AH279" s="50"/>
      <c r="AI279" s="1"/>
      <c r="AJ279" s="1"/>
    </row>
    <row r="280" spans="1:36" ht="12.95" customHeight="1" x14ac:dyDescent="0.25">
      <c r="A280" s="36"/>
      <c r="B280" s="50" t="s">
        <v>181</v>
      </c>
      <c r="C280" s="31">
        <v>7</v>
      </c>
      <c r="D280" s="32" t="s">
        <v>179</v>
      </c>
      <c r="E280" s="32">
        <v>1</v>
      </c>
      <c r="F280" s="32">
        <v>1</v>
      </c>
      <c r="G280" s="32">
        <v>6</v>
      </c>
      <c r="H280" s="32">
        <v>60</v>
      </c>
      <c r="I280" s="32">
        <f>(8-1-0.75*2)*60*F280-K280-8*0.12*60</f>
        <v>57.900000000000006</v>
      </c>
      <c r="J280" s="32">
        <v>14</v>
      </c>
      <c r="K280" s="32">
        <f>(8-1-0.75*2)*0.65*60*F280</f>
        <v>214.5</v>
      </c>
      <c r="L280" s="33">
        <v>10.16</v>
      </c>
      <c r="M280" s="33">
        <v>10.16</v>
      </c>
      <c r="N280" s="32">
        <v>10</v>
      </c>
      <c r="O280" s="32">
        <f>E280/F280</f>
        <v>1</v>
      </c>
      <c r="P280" s="32">
        <v>0</v>
      </c>
      <c r="Q280" s="32">
        <v>45</v>
      </c>
      <c r="R280" s="42">
        <v>45</v>
      </c>
      <c r="S280" s="42">
        <v>1.99</v>
      </c>
      <c r="T280" s="33">
        <f>ROUND((L280*I280+1.3*L280*K280+S280*H280),4)</f>
        <v>3540.78</v>
      </c>
      <c r="U280" s="33">
        <f>ROUND((M280*I280+1.3*M280*K280+S280*H280),4)</f>
        <v>3540.78</v>
      </c>
      <c r="V280" s="33">
        <f>ROUND((M280*I280+1.3*M280*K280+S280*H280),4)</f>
        <v>3540.78</v>
      </c>
      <c r="W280" s="33">
        <f>ROUND((L280*J280+1.3*L280*N280+S280*G280),4)</f>
        <v>286.26</v>
      </c>
      <c r="X280" s="33">
        <f>ROUND((M280*J280+1.3*M280*N280+S280*G280),4)</f>
        <v>286.26</v>
      </c>
      <c r="Y280" s="33">
        <f>ROUND((M280*J280+1.3*M280*N280+S280*G280),4)</f>
        <v>286.26</v>
      </c>
      <c r="Z280" s="43">
        <f>ROUND((P280*T280*F280*O280/1000000),4)</f>
        <v>0</v>
      </c>
      <c r="AA280" s="43">
        <f>ROUND((Q280*U280*F280*O280/1000000),4)</f>
        <v>0.1593</v>
      </c>
      <c r="AB280" s="43">
        <f>ROUND((R280*V280*F280*O280/1000000),4)</f>
        <v>0.1593</v>
      </c>
      <c r="AC280" s="44" t="s">
        <v>111</v>
      </c>
      <c r="AD280" s="45" t="s">
        <v>95</v>
      </c>
      <c r="AE280" s="30">
        <f>ROUND((((X280*E280)/1800)*0.8),4)</f>
        <v>0.12720000000000001</v>
      </c>
      <c r="AF280" s="30">
        <f>ROUND(((Z280+AA280+AB280)*0.8),4)</f>
        <v>0.25490000000000002</v>
      </c>
      <c r="AG280" s="50"/>
      <c r="AH280" s="50"/>
    </row>
    <row r="281" spans="1:36" ht="12.95" customHeight="1" x14ac:dyDescent="0.25">
      <c r="A281" s="36"/>
      <c r="B281" s="35" t="s">
        <v>182</v>
      </c>
      <c r="C281" s="36"/>
      <c r="D281" s="36"/>
      <c r="E281" s="36"/>
      <c r="F281" s="36"/>
      <c r="G281" s="36"/>
      <c r="H281" s="36"/>
      <c r="I281" s="36"/>
      <c r="J281" s="36"/>
      <c r="K281" s="36"/>
      <c r="L281" s="37"/>
      <c r="M281" s="37"/>
      <c r="N281" s="36"/>
      <c r="O281" s="36"/>
      <c r="P281" s="36"/>
      <c r="Q281" s="36"/>
      <c r="R281" s="36"/>
      <c r="S281" s="46"/>
      <c r="T281" s="47"/>
      <c r="U281" s="47"/>
      <c r="V281" s="47"/>
      <c r="W281" s="47"/>
      <c r="X281" s="47"/>
      <c r="Y281" s="47"/>
      <c r="Z281" s="47"/>
      <c r="AA281" s="47"/>
      <c r="AB281" s="47"/>
      <c r="AC281" s="44" t="s">
        <v>112</v>
      </c>
      <c r="AD281" s="45" t="s">
        <v>113</v>
      </c>
      <c r="AE281" s="30">
        <f>ROUND((((X280*E280)/1800)*0.13),4)</f>
        <v>2.07E-2</v>
      </c>
      <c r="AF281" s="30">
        <f>ROUND(((Z280+AA280+AB280)*0.13),4)</f>
        <v>4.1399999999999999E-2</v>
      </c>
      <c r="AG281" s="50"/>
      <c r="AH281" s="50"/>
    </row>
    <row r="282" spans="1:36" ht="12.95" customHeight="1" x14ac:dyDescent="0.25">
      <c r="A282" s="36"/>
      <c r="C282" s="39"/>
      <c r="D282" s="39"/>
      <c r="E282" s="36"/>
      <c r="F282" s="36"/>
      <c r="G282" s="36"/>
      <c r="H282" s="36"/>
      <c r="I282" s="36"/>
      <c r="J282" s="36"/>
      <c r="K282" s="36"/>
      <c r="L282" s="40">
        <v>0.8</v>
      </c>
      <c r="M282" s="40">
        <v>0.98</v>
      </c>
      <c r="N282" s="36"/>
      <c r="O282" s="36"/>
      <c r="P282" s="36"/>
      <c r="Q282" s="36"/>
      <c r="R282" s="36"/>
      <c r="S282" s="48">
        <v>0.39</v>
      </c>
      <c r="T282" s="33">
        <f>ROUND((L282*I280+1.3*L282*K280+S282*H280),4)</f>
        <v>292.8</v>
      </c>
      <c r="U282" s="33">
        <f>ROUND((M282*0.9*I280+1.3*M282*0.9*K280+S282*H280),4)</f>
        <v>320.4135</v>
      </c>
      <c r="V282" s="33">
        <f>ROUND((M282*I280+1.3*M282*K280+S282*H280),4)</f>
        <v>353.41500000000002</v>
      </c>
      <c r="W282" s="33">
        <f>ROUND((L282*J280+1.3*L282*N280+S282*G280),4)</f>
        <v>23.94</v>
      </c>
      <c r="X282" s="33">
        <f>ROUND((M282*0.9*J280+1.3*M282*0.9*N280+S282*G280),4)</f>
        <v>26.154</v>
      </c>
      <c r="Y282" s="33">
        <f>ROUND((M282*J280+1.3*M282*N280+S282*G280),4)</f>
        <v>28.8</v>
      </c>
      <c r="Z282" s="43">
        <f>ROUND((P280*T282*F280*O280/1000000),4)</f>
        <v>0</v>
      </c>
      <c r="AA282" s="43">
        <f>ROUND((Q280*U282*F280*O280/1000000),4)</f>
        <v>1.44E-2</v>
      </c>
      <c r="AB282" s="43">
        <f>ROUND((R280*V282*F280*O280/1000000),4)</f>
        <v>1.5900000000000001E-2</v>
      </c>
      <c r="AC282" s="44" t="s">
        <v>167</v>
      </c>
      <c r="AD282" s="45" t="s">
        <v>115</v>
      </c>
      <c r="AE282" s="30">
        <f>ROUND((((X282*E280)/1800)),4)</f>
        <v>1.4500000000000001E-2</v>
      </c>
      <c r="AF282" s="30">
        <f>ROUND(((Z282+AA282+AB282)),5)</f>
        <v>3.0300000000000001E-2</v>
      </c>
      <c r="AG282" s="50"/>
      <c r="AH282" s="50"/>
    </row>
    <row r="283" spans="1:36" ht="12.95" customHeight="1" x14ac:dyDescent="0.25">
      <c r="A283" s="36"/>
      <c r="C283" s="36"/>
      <c r="D283" s="36"/>
      <c r="E283" s="36"/>
      <c r="F283" s="36"/>
      <c r="G283" s="36"/>
      <c r="H283" s="36"/>
      <c r="I283" s="36"/>
      <c r="J283" s="36"/>
      <c r="K283" s="36"/>
      <c r="L283" s="40">
        <v>1.79</v>
      </c>
      <c r="M283" s="40">
        <v>2.15</v>
      </c>
      <c r="N283" s="36"/>
      <c r="O283" s="36"/>
      <c r="P283" s="36"/>
      <c r="Q283" s="36"/>
      <c r="R283" s="36"/>
      <c r="S283" s="49">
        <v>1.24</v>
      </c>
      <c r="T283" s="33">
        <f>ROUND((L283*I280+1.3*L283*K280+S283*H280),4)</f>
        <v>677.1825</v>
      </c>
      <c r="U283" s="33">
        <f>ROUND((M283*0.9*I280+1.3*M283*0.9*K280+S283*H280),4)</f>
        <v>726.01130000000001</v>
      </c>
      <c r="V283" s="33">
        <f>ROUND((M283*I280+1.3*M283*K280+S283*H280),4)</f>
        <v>798.41250000000002</v>
      </c>
      <c r="W283" s="33">
        <f>ROUND((L283*J280+1.3*L283*N280+S283*G280),4)</f>
        <v>55.77</v>
      </c>
      <c r="X283" s="33">
        <f>ROUND((M283*0.9*J280+1.3*M283*0.9*N280+S283*G280),4)</f>
        <v>59.685000000000002</v>
      </c>
      <c r="Y283" s="33">
        <f>ROUND((M283*J280+1.3*N280+S283*G280),4)</f>
        <v>50.54</v>
      </c>
      <c r="Z283" s="43">
        <f>ROUND((P280*T283*F280*O280/1000000),4)</f>
        <v>0</v>
      </c>
      <c r="AA283" s="43">
        <f>ROUND((Q280*U283*F280*O280/1000000),4)</f>
        <v>3.27E-2</v>
      </c>
      <c r="AB283" s="43">
        <f>ROUND((R280*V283*F280*O280/1000000),4)</f>
        <v>3.5900000000000001E-2</v>
      </c>
      <c r="AC283" s="44" t="s">
        <v>168</v>
      </c>
      <c r="AD283" s="45" t="s">
        <v>169</v>
      </c>
      <c r="AE283" s="30">
        <f>ROUND((((X283*E280)/1800)),4)</f>
        <v>3.32E-2</v>
      </c>
      <c r="AF283" s="30">
        <f>ROUND(((Z283+AA283+AB283)),4)</f>
        <v>6.8599999999999994E-2</v>
      </c>
      <c r="AG283" s="50"/>
      <c r="AH283" s="50"/>
    </row>
    <row r="284" spans="1:36" ht="12.95" customHeight="1" x14ac:dyDescent="0.25">
      <c r="A284" s="36"/>
      <c r="B284" s="35"/>
      <c r="C284" s="36"/>
      <c r="D284" s="36"/>
      <c r="E284" s="36"/>
      <c r="F284" s="36"/>
      <c r="G284" s="36"/>
      <c r="H284" s="36"/>
      <c r="I284" s="36"/>
      <c r="J284" s="36"/>
      <c r="K284" s="36"/>
      <c r="L284" s="40">
        <v>1.1299999999999999</v>
      </c>
      <c r="M284" s="40">
        <v>1.7</v>
      </c>
      <c r="N284" s="36"/>
      <c r="O284" s="36"/>
      <c r="P284" s="36"/>
      <c r="Q284" s="36"/>
      <c r="R284" s="36"/>
      <c r="S284" s="49">
        <v>0.26</v>
      </c>
      <c r="T284" s="33">
        <f>ROUND((L284*I280+1.3*L284*K280+S284*H280),4)</f>
        <v>396.1275</v>
      </c>
      <c r="U284" s="33">
        <f>ROUND((M284*0.9*I280+1.3*M284*0.9*K280+S284*H280),4)</f>
        <v>530.82749999999999</v>
      </c>
      <c r="V284" s="33">
        <f>ROUND((M284*I280+1.3*M284*K280+S284*H280),4)</f>
        <v>588.07500000000005</v>
      </c>
      <c r="W284" s="33">
        <f>ROUND((L284*J280+1.3*L284*N280+S284*G280),4)</f>
        <v>32.07</v>
      </c>
      <c r="X284" s="33">
        <f>ROUND((M284*0.9*J280+1.3*M284*0.9*N280+S284*G280),4)</f>
        <v>42.87</v>
      </c>
      <c r="Y284" s="33">
        <f>ROUND((M284*J280+1.3*M284*N280+S284*G280),4)</f>
        <v>47.46</v>
      </c>
      <c r="Z284" s="43">
        <f>ROUND((P280*T284*F280*O280/1000000),4)</f>
        <v>0</v>
      </c>
      <c r="AA284" s="43">
        <f>ROUND((Q280*U284*F280*O280/1000000),4)</f>
        <v>2.3900000000000001E-2</v>
      </c>
      <c r="AB284" s="43">
        <f>ROUND((R280*V284*F280*O280/1000000),4)</f>
        <v>2.6499999999999999E-2</v>
      </c>
      <c r="AC284" s="44" t="s">
        <v>170</v>
      </c>
      <c r="AD284" s="45" t="s">
        <v>119</v>
      </c>
      <c r="AE284" s="30">
        <f>ROUND((((X284*E280)/1800)),4)</f>
        <v>2.3800000000000002E-2</v>
      </c>
      <c r="AF284" s="30">
        <f>ROUND(((Z284+AA284+AB284)),4)</f>
        <v>5.04E-2</v>
      </c>
      <c r="AG284" s="50"/>
      <c r="AH284" s="50"/>
    </row>
    <row r="285" spans="1:36" ht="12.95" customHeight="1" x14ac:dyDescent="0.25">
      <c r="A285" s="36"/>
      <c r="B285" s="41"/>
      <c r="C285" s="37"/>
      <c r="D285" s="37"/>
      <c r="E285" s="37"/>
      <c r="F285" s="37"/>
      <c r="G285" s="37"/>
      <c r="H285" s="37"/>
      <c r="I285" s="37"/>
      <c r="J285" s="37"/>
      <c r="K285" s="37"/>
      <c r="L285" s="40">
        <v>5.3</v>
      </c>
      <c r="M285" s="40">
        <v>6.47</v>
      </c>
      <c r="N285" s="37"/>
      <c r="O285" s="37"/>
      <c r="P285" s="37"/>
      <c r="Q285" s="37"/>
      <c r="R285" s="37"/>
      <c r="S285" s="49">
        <v>9.92</v>
      </c>
      <c r="T285" s="33">
        <f>ROUND((L285*I280+1.3*L285*K280+S285*H280),4)</f>
        <v>2379.9749999999999</v>
      </c>
      <c r="U285" s="33">
        <f>ROUND((M285*0.9*I280+1.3*M285*0.9*K280+S285*H280),4)</f>
        <v>2556.0953</v>
      </c>
      <c r="V285" s="33">
        <f>ROUND((M285*I280+1.3*M285*K280+S285*H280),4)</f>
        <v>2773.9724999999999</v>
      </c>
      <c r="W285" s="33">
        <f>ROUND((L285*J280+1.3*L285*N280+S285*G280),4)</f>
        <v>202.62</v>
      </c>
      <c r="X285" s="33">
        <f>ROUND((M285*0.9*J280+1.3*M285*0.9*N280+S285*G280),4)</f>
        <v>216.74100000000001</v>
      </c>
      <c r="Y285" s="33">
        <f>ROUND((M285*J280+1.3*M285*N280+S285*G280),4)</f>
        <v>234.21</v>
      </c>
      <c r="Z285" s="43">
        <f>ROUND((P280*T285*F280*O280/1000000),4)</f>
        <v>0</v>
      </c>
      <c r="AA285" s="43">
        <f>ROUND((Q280*U285*F280*O280/1000000),4)</f>
        <v>0.115</v>
      </c>
      <c r="AB285" s="43">
        <f>ROUND((R280*V285*F280*O280/1000000),4)</f>
        <v>0.12479999999999999</v>
      </c>
      <c r="AC285" s="44" t="s">
        <v>171</v>
      </c>
      <c r="AD285" s="45" t="s">
        <v>104</v>
      </c>
      <c r="AE285" s="30">
        <f>ROUND((((X285*E280)/1800)),4)</f>
        <v>0.12039999999999999</v>
      </c>
      <c r="AF285" s="30">
        <f>ROUND(((Z285+AA285+AB285)),4)</f>
        <v>0.23980000000000001</v>
      </c>
      <c r="AG285" s="50"/>
      <c r="AH285" s="50"/>
    </row>
    <row r="286" spans="1:36" ht="12.95" customHeight="1" x14ac:dyDescent="0.25">
      <c r="A286" s="36"/>
      <c r="B286" s="50" t="s">
        <v>184</v>
      </c>
      <c r="C286" s="31">
        <v>1</v>
      </c>
      <c r="D286" s="32" t="s">
        <v>185</v>
      </c>
      <c r="E286" s="32">
        <v>1</v>
      </c>
      <c r="F286" s="32">
        <v>1</v>
      </c>
      <c r="G286" s="32">
        <v>6</v>
      </c>
      <c r="H286" s="32">
        <v>60</v>
      </c>
      <c r="I286" s="32">
        <f>(8-1-0.75*2)*60*F286-K286-8*0.12*60</f>
        <v>57.900000000000006</v>
      </c>
      <c r="J286" s="32">
        <v>14</v>
      </c>
      <c r="K286" s="32">
        <f>(8-1-0.75*2)*0.65*60*F286</f>
        <v>214.5</v>
      </c>
      <c r="L286" s="33">
        <v>0.47</v>
      </c>
      <c r="M286" s="33">
        <v>0.47</v>
      </c>
      <c r="N286" s="32">
        <v>10</v>
      </c>
      <c r="O286" s="32">
        <f>E286/F286</f>
        <v>1</v>
      </c>
      <c r="P286" s="32">
        <v>0</v>
      </c>
      <c r="Q286" s="32">
        <v>45</v>
      </c>
      <c r="R286" s="42">
        <v>45</v>
      </c>
      <c r="S286" s="42">
        <v>0.09</v>
      </c>
      <c r="T286" s="33">
        <f>ROUND((L286*I286+1.3*L286*K286+S286*H286),4)</f>
        <v>163.67250000000001</v>
      </c>
      <c r="U286" s="33">
        <f>ROUND((M286*I286+1.3*M286*K286+S286*H286),4)</f>
        <v>163.67250000000001</v>
      </c>
      <c r="V286" s="33">
        <f>ROUND((M286*I286+1.3*M286*K286+S286*H286),4)</f>
        <v>163.67250000000001</v>
      </c>
      <c r="W286" s="33">
        <f>ROUND((L286*J286+1.3*L286*N286+S286*G286),4)</f>
        <v>13.23</v>
      </c>
      <c r="X286" s="33">
        <f>ROUND((M286*J286+1.3*M286*N286+S286*G286),4)</f>
        <v>13.23</v>
      </c>
      <c r="Y286" s="33">
        <f>ROUND((M286*J286+1.3*M286*N286+S286*G286),4)</f>
        <v>13.23</v>
      </c>
      <c r="Z286" s="43">
        <f>ROUND((P286*T286*F286*O286/1000000),4)</f>
        <v>0</v>
      </c>
      <c r="AA286" s="43">
        <f>ROUND((Q286*U286*F286*O286/1000000),4)</f>
        <v>7.4000000000000003E-3</v>
      </c>
      <c r="AB286" s="43">
        <f>ROUND((R286*V286*F286*O286/1000000),4)</f>
        <v>7.4000000000000003E-3</v>
      </c>
      <c r="AC286" s="44" t="s">
        <v>111</v>
      </c>
      <c r="AD286" s="45" t="s">
        <v>95</v>
      </c>
      <c r="AE286" s="30">
        <f>ROUND((((X286*E286)/1800)*0.8),4)</f>
        <v>5.8999999999999999E-3</v>
      </c>
      <c r="AF286" s="30">
        <f>ROUND(((Z286+AA286+AB286)*0.8),4)</f>
        <v>1.18E-2</v>
      </c>
      <c r="AG286" s="50"/>
      <c r="AH286" s="50"/>
    </row>
    <row r="287" spans="1:36" ht="12.95" customHeight="1" x14ac:dyDescent="0.25">
      <c r="A287" s="36"/>
      <c r="B287" s="35" t="s">
        <v>186</v>
      </c>
      <c r="C287" s="36"/>
      <c r="D287" s="36"/>
      <c r="E287" s="36"/>
      <c r="F287" s="36"/>
      <c r="G287" s="36"/>
      <c r="H287" s="36"/>
      <c r="I287" s="36"/>
      <c r="J287" s="36"/>
      <c r="K287" s="36"/>
      <c r="L287" s="37"/>
      <c r="M287" s="37"/>
      <c r="N287" s="36"/>
      <c r="O287" s="36"/>
      <c r="P287" s="36"/>
      <c r="Q287" s="36"/>
      <c r="R287" s="36"/>
      <c r="S287" s="46"/>
      <c r="T287" s="47"/>
      <c r="U287" s="47"/>
      <c r="V287" s="47"/>
      <c r="W287" s="47"/>
      <c r="X287" s="47"/>
      <c r="Y287" s="47"/>
      <c r="Z287" s="47"/>
      <c r="AA287" s="47"/>
      <c r="AB287" s="47"/>
      <c r="AC287" s="44" t="s">
        <v>112</v>
      </c>
      <c r="AD287" s="45" t="s">
        <v>113</v>
      </c>
      <c r="AE287" s="30">
        <f>ROUND((((X286*E286)/1800)*0.13),4)</f>
        <v>1E-3</v>
      </c>
      <c r="AF287" s="30">
        <f>ROUND(((Z286+AA286+AB286)*0.13),4)</f>
        <v>1.9E-3</v>
      </c>
      <c r="AG287" s="50"/>
      <c r="AH287" s="50"/>
    </row>
    <row r="288" spans="1:36" ht="12.95" customHeight="1" x14ac:dyDescent="0.25">
      <c r="A288" s="36"/>
      <c r="C288" s="39"/>
      <c r="D288" s="39"/>
      <c r="E288" s="36"/>
      <c r="F288" s="36"/>
      <c r="G288" s="36"/>
      <c r="H288" s="36"/>
      <c r="I288" s="36"/>
      <c r="J288" s="36"/>
      <c r="K288" s="36"/>
      <c r="L288" s="40">
        <v>0.8</v>
      </c>
      <c r="M288" s="40">
        <v>0.98</v>
      </c>
      <c r="N288" s="36"/>
      <c r="O288" s="36"/>
      <c r="P288" s="36"/>
      <c r="Q288" s="36"/>
      <c r="R288" s="36"/>
      <c r="S288" s="48">
        <v>1.7999999999999999E-2</v>
      </c>
      <c r="T288" s="33">
        <f>ROUND((L288*I286+1.3*L288*K286+S288*H286),4)</f>
        <v>270.48</v>
      </c>
      <c r="U288" s="33">
        <f>ROUND((M288*0.9*I286+1.3*M288*0.9*K286+S288*H286),4)</f>
        <v>298.09350000000001</v>
      </c>
      <c r="V288" s="33">
        <f>ROUND((M288*I286+1.3*M288*K286+S288*H286),4)</f>
        <v>331.09500000000003</v>
      </c>
      <c r="W288" s="33">
        <f>ROUND((L288*J286+1.3*L288*N286+S288*G286),4)</f>
        <v>21.707999999999998</v>
      </c>
      <c r="X288" s="33">
        <f>ROUND((M288*0.9*J286+1.3*M288*0.9*N286+S288*G286),4)</f>
        <v>23.922000000000001</v>
      </c>
      <c r="Y288" s="33">
        <f>ROUND((M288*J286+1.3*M288*N286+S288*G286),4)</f>
        <v>26.568000000000001</v>
      </c>
      <c r="Z288" s="43">
        <f>ROUND((P286*T288*F286*O286/1000000),4)</f>
        <v>0</v>
      </c>
      <c r="AA288" s="43">
        <f>ROUND((Q286*U288*F286*O286/1000000),4)</f>
        <v>1.34E-2</v>
      </c>
      <c r="AB288" s="43">
        <f>ROUND((R286*V288*F286*O286/1000000),4)</f>
        <v>1.49E-2</v>
      </c>
      <c r="AC288" s="44" t="s">
        <v>167</v>
      </c>
      <c r="AD288" s="45" t="s">
        <v>115</v>
      </c>
      <c r="AE288" s="30">
        <f>ROUND((((X288*E286)/1800)),4)</f>
        <v>1.3299999999999999E-2</v>
      </c>
      <c r="AF288" s="30">
        <f>ROUND(((Z288+AA288+AB288)),5)</f>
        <v>2.8299999999999999E-2</v>
      </c>
      <c r="AG288" s="50"/>
      <c r="AH288" s="50"/>
    </row>
    <row r="289" spans="1:36" ht="12.95" customHeight="1" x14ac:dyDescent="0.25">
      <c r="A289" s="36"/>
      <c r="C289" s="36"/>
      <c r="D289" s="36"/>
      <c r="E289" s="36"/>
      <c r="F289" s="36"/>
      <c r="G289" s="36"/>
      <c r="H289" s="36"/>
      <c r="I289" s="36"/>
      <c r="J289" s="36"/>
      <c r="K289" s="36"/>
      <c r="L289" s="40">
        <v>0.08</v>
      </c>
      <c r="M289" s="40">
        <v>0.1</v>
      </c>
      <c r="N289" s="36"/>
      <c r="O289" s="36"/>
      <c r="P289" s="36"/>
      <c r="Q289" s="36"/>
      <c r="R289" s="36"/>
      <c r="S289" s="49">
        <v>0.06</v>
      </c>
      <c r="T289" s="33">
        <f>ROUND((L289*I286+1.3*L289*K286+S289*H286),4)</f>
        <v>30.54</v>
      </c>
      <c r="U289" s="33">
        <f>ROUND((M289*0.9*I286+1.3*M289*0.9*K286+S289*H286),4)</f>
        <v>33.907499999999999</v>
      </c>
      <c r="V289" s="33">
        <f>ROUND((M289*I286+1.3*M289*K286+S289*H286),4)</f>
        <v>37.274999999999999</v>
      </c>
      <c r="W289" s="33">
        <f>ROUND((L289*J286+1.3*L289*N286+S289*G286),4)</f>
        <v>2.52</v>
      </c>
      <c r="X289" s="33">
        <f>ROUND((M289*0.9*J286+1.3*M289*0.9*N286+S289*G286),4)</f>
        <v>2.79</v>
      </c>
      <c r="Y289" s="33">
        <f>ROUND((M289*J286+1.3*N286+S289*G286),4)</f>
        <v>14.76</v>
      </c>
      <c r="Z289" s="43">
        <f>ROUND((P286*T289*F286*O286/1000000),4)</f>
        <v>0</v>
      </c>
      <c r="AA289" s="43">
        <f>ROUND((Q286*U289*F286*O286/1000000),4)</f>
        <v>1.5E-3</v>
      </c>
      <c r="AB289" s="43">
        <f>ROUND((R286*V289*F286*O286/1000000),4)</f>
        <v>1.6999999999999999E-3</v>
      </c>
      <c r="AC289" s="44" t="s">
        <v>168</v>
      </c>
      <c r="AD289" s="45" t="s">
        <v>169</v>
      </c>
      <c r="AE289" s="30">
        <f>ROUND((((X289*E286)/1800)),4)</f>
        <v>1.6000000000000001E-3</v>
      </c>
      <c r="AF289" s="30">
        <f>ROUND(((Z289+AA289+AB289)),4)</f>
        <v>3.2000000000000002E-3</v>
      </c>
      <c r="AG289" s="50"/>
      <c r="AH289" s="50"/>
    </row>
    <row r="290" spans="1:36" ht="12.95" customHeight="1" x14ac:dyDescent="0.25">
      <c r="A290" s="36"/>
      <c r="B290" s="35"/>
      <c r="C290" s="36"/>
      <c r="D290" s="36"/>
      <c r="E290" s="36"/>
      <c r="F290" s="36"/>
      <c r="G290" s="36"/>
      <c r="H290" s="36"/>
      <c r="I290" s="36"/>
      <c r="J290" s="36"/>
      <c r="K290" s="36"/>
      <c r="L290" s="40">
        <v>0.05</v>
      </c>
      <c r="M290" s="40">
        <v>7.0000000000000007E-2</v>
      </c>
      <c r="N290" s="36"/>
      <c r="O290" s="36"/>
      <c r="P290" s="36"/>
      <c r="Q290" s="36"/>
      <c r="R290" s="36"/>
      <c r="S290" s="49">
        <v>0.01</v>
      </c>
      <c r="T290" s="33">
        <f>ROUND((L290*I286+1.3*L290*K286+S290*H286),4)</f>
        <v>17.4375</v>
      </c>
      <c r="U290" s="33">
        <f>ROUND((M290*0.9*I286+1.3*M290*0.9*K286+S290*H286),4)</f>
        <v>21.815300000000001</v>
      </c>
      <c r="V290" s="33">
        <f>ROUND((M290*I286+1.3*M290*K286+S290*H286),4)</f>
        <v>24.172499999999999</v>
      </c>
      <c r="W290" s="33">
        <f>ROUND((L290*J286+1.3*L290*N286+S290*G286),4)</f>
        <v>1.41</v>
      </c>
      <c r="X290" s="33">
        <f>ROUND((M290*0.9*J286+1.3*M290*0.9*N286+S290*G286),4)</f>
        <v>1.7609999999999999</v>
      </c>
      <c r="Y290" s="33">
        <f>ROUND((M290*J286+1.3*M290*N286+S290*G286),4)</f>
        <v>1.95</v>
      </c>
      <c r="Z290" s="43">
        <f>ROUND((P286*T290*F286*O286/1000000),4)</f>
        <v>0</v>
      </c>
      <c r="AA290" s="43">
        <f>ROUND((Q286*U290*F286*O286/1000000),4)</f>
        <v>1E-3</v>
      </c>
      <c r="AB290" s="43">
        <f>ROUND((R286*V290*F286*O286/1000000),4)</f>
        <v>1.1000000000000001E-3</v>
      </c>
      <c r="AC290" s="44" t="s">
        <v>170</v>
      </c>
      <c r="AD290" s="45" t="s">
        <v>119</v>
      </c>
      <c r="AE290" s="30">
        <f>ROUND((((X290*E286)/1800)),4)</f>
        <v>1E-3</v>
      </c>
      <c r="AF290" s="30">
        <f>ROUND(((Z290+AA290+AB290)),4)</f>
        <v>2.0999999999999999E-3</v>
      </c>
      <c r="AG290" s="50"/>
      <c r="AH290" s="50"/>
    </row>
    <row r="291" spans="1:36" ht="12.95" customHeight="1" x14ac:dyDescent="0.25">
      <c r="A291" s="36"/>
      <c r="B291" s="41"/>
      <c r="C291" s="37"/>
      <c r="D291" s="37"/>
      <c r="E291" s="37"/>
      <c r="F291" s="37"/>
      <c r="G291" s="37"/>
      <c r="H291" s="37"/>
      <c r="I291" s="37"/>
      <c r="J291" s="37"/>
      <c r="K291" s="37"/>
      <c r="L291" s="40">
        <v>3.5999999999999997E-2</v>
      </c>
      <c r="M291" s="40">
        <v>4.3999999999999997E-2</v>
      </c>
      <c r="N291" s="37"/>
      <c r="O291" s="37"/>
      <c r="P291" s="37"/>
      <c r="Q291" s="37"/>
      <c r="R291" s="37"/>
      <c r="S291" s="49">
        <v>0.45</v>
      </c>
      <c r="T291" s="33">
        <f>ROUND((L291*I286+1.3*L291*K286+S291*H286),4)</f>
        <v>39.122999999999998</v>
      </c>
      <c r="U291" s="33">
        <f>ROUND((M291*0.9*I286+1.3*M291*0.9*K286+S291*H286),4)</f>
        <v>40.335299999999997</v>
      </c>
      <c r="V291" s="33">
        <f>ROUND((M291*I286+1.3*M291*K286+S291*H286),4)</f>
        <v>41.817</v>
      </c>
      <c r="W291" s="33">
        <f>ROUND((L291*J286+1.3*L291*N286+S291*G286),4)</f>
        <v>3.6720000000000002</v>
      </c>
      <c r="X291" s="33">
        <f>ROUND((M291*0.9*J286+1.3*M291*0.9*N286+S291*G286),4)</f>
        <v>3.7692000000000001</v>
      </c>
      <c r="Y291" s="33">
        <f>ROUND((M291*J286+1.3*M291*N286+S291*G286),4)</f>
        <v>3.8879999999999999</v>
      </c>
      <c r="Z291" s="43">
        <f>ROUND((P286*T291*F286*O286/1000000),4)</f>
        <v>0</v>
      </c>
      <c r="AA291" s="43">
        <f>ROUND((Q286*U291*F286*O286/1000000),4)</f>
        <v>1.8E-3</v>
      </c>
      <c r="AB291" s="43">
        <f>ROUND((R286*V291*F286*O286/1000000),4)</f>
        <v>1.9E-3</v>
      </c>
      <c r="AC291" s="44" t="s">
        <v>171</v>
      </c>
      <c r="AD291" s="45" t="s">
        <v>104</v>
      </c>
      <c r="AE291" s="30">
        <f>ROUND((((X291*E286)/1800)),4)</f>
        <v>2.0999999999999999E-3</v>
      </c>
      <c r="AF291" s="30">
        <f>ROUND(((Z291+AA291+AB291)),4)</f>
        <v>3.7000000000000002E-3</v>
      </c>
      <c r="AG291" s="50"/>
      <c r="AH291" s="50"/>
    </row>
    <row r="292" spans="1:36" ht="12.95" customHeight="1" x14ac:dyDescent="0.25">
      <c r="A292" s="56"/>
      <c r="B292" s="31" t="s">
        <v>188</v>
      </c>
      <c r="C292" s="31">
        <v>6</v>
      </c>
      <c r="D292" s="32" t="s">
        <v>175</v>
      </c>
      <c r="E292" s="32">
        <v>1</v>
      </c>
      <c r="F292" s="32">
        <v>1</v>
      </c>
      <c r="G292" s="32">
        <v>6</v>
      </c>
      <c r="H292" s="32">
        <v>60</v>
      </c>
      <c r="I292" s="32">
        <f>(8-1-0.75*2)*60*F292-K292-8*0.12*60</f>
        <v>57.900000000000006</v>
      </c>
      <c r="J292" s="32">
        <v>14</v>
      </c>
      <c r="K292" s="32">
        <f>(8-1-0.75*2)*0.65*60*F292</f>
        <v>214.5</v>
      </c>
      <c r="L292" s="33">
        <v>6.47</v>
      </c>
      <c r="M292" s="33">
        <v>6.47</v>
      </c>
      <c r="N292" s="32">
        <v>10</v>
      </c>
      <c r="O292" s="32">
        <f>E292/F292</f>
        <v>1</v>
      </c>
      <c r="P292" s="32">
        <v>0</v>
      </c>
      <c r="Q292" s="32">
        <v>5</v>
      </c>
      <c r="R292" s="42">
        <v>0</v>
      </c>
      <c r="S292" s="42">
        <v>1.27</v>
      </c>
      <c r="T292" s="33">
        <f>ROUND((L292*I292+1.3*L292*K292+S292*H292),4)</f>
        <v>2254.9724999999999</v>
      </c>
      <c r="U292" s="33">
        <f>ROUND((M292*I292+1.3*M292*K292+S292*H292),4)</f>
        <v>2254.9724999999999</v>
      </c>
      <c r="V292" s="33">
        <f>ROUND((M292*I292+1.3*M292*K292+S292*H292),4)</f>
        <v>2254.9724999999999</v>
      </c>
      <c r="W292" s="33">
        <f>ROUND((L292*J292+1.3*L292*N292+S292*G292),4)</f>
        <v>182.31</v>
      </c>
      <c r="X292" s="33">
        <f>ROUND((M292*J292+1.3*M292*N292+S292*G292),4)</f>
        <v>182.31</v>
      </c>
      <c r="Y292" s="33">
        <f>ROUND((M292*J292+1.3*M292*N292+S292*G292),4)</f>
        <v>182.31</v>
      </c>
      <c r="Z292" s="43">
        <f>ROUND((P292*T292*F292*O292/1000000),4)</f>
        <v>0</v>
      </c>
      <c r="AA292" s="43">
        <f>ROUND((Q292*U292*F292*O292/1000000),4)</f>
        <v>1.1299999999999999E-2</v>
      </c>
      <c r="AB292" s="43">
        <f>ROUND((R292*V292*F292*O292/1000000),4)</f>
        <v>0</v>
      </c>
      <c r="AC292" s="44" t="s">
        <v>111</v>
      </c>
      <c r="AD292" s="45" t="s">
        <v>95</v>
      </c>
      <c r="AE292" s="30">
        <f>ROUND((((X292*E292)/1800)*0.8),4)</f>
        <v>8.1000000000000003E-2</v>
      </c>
      <c r="AF292" s="30">
        <f>ROUND(((Z292+AA292+AB292)*0.8),4)</f>
        <v>8.9999999999999993E-3</v>
      </c>
      <c r="AG292" s="50"/>
      <c r="AH292" s="50"/>
      <c r="AI292" s="1"/>
      <c r="AJ292" s="1"/>
    </row>
    <row r="293" spans="1:36" ht="12.95" customHeight="1" x14ac:dyDescent="0.25">
      <c r="A293" s="56"/>
      <c r="B293" s="35" t="s">
        <v>189</v>
      </c>
      <c r="C293" s="36"/>
      <c r="D293" s="36"/>
      <c r="E293" s="36"/>
      <c r="F293" s="36"/>
      <c r="G293" s="36"/>
      <c r="H293" s="36"/>
      <c r="I293" s="36"/>
      <c r="J293" s="36"/>
      <c r="K293" s="36"/>
      <c r="L293" s="37"/>
      <c r="M293" s="37"/>
      <c r="N293" s="36"/>
      <c r="O293" s="36"/>
      <c r="P293" s="36"/>
      <c r="Q293" s="36"/>
      <c r="R293" s="36"/>
      <c r="S293" s="46"/>
      <c r="T293" s="47"/>
      <c r="U293" s="47"/>
      <c r="V293" s="47"/>
      <c r="W293" s="47"/>
      <c r="X293" s="47"/>
      <c r="Y293" s="47"/>
      <c r="Z293" s="47"/>
      <c r="AA293" s="47"/>
      <c r="AB293" s="47"/>
      <c r="AC293" s="44" t="s">
        <v>112</v>
      </c>
      <c r="AD293" s="45" t="s">
        <v>113</v>
      </c>
      <c r="AE293" s="30">
        <f>ROUND((((X292*E292)/1800)*0.13),4)</f>
        <v>1.32E-2</v>
      </c>
      <c r="AF293" s="30">
        <f>ROUND(((Z292+AA292+AB292)*0.13),4)</f>
        <v>1.5E-3</v>
      </c>
      <c r="AG293" s="50"/>
      <c r="AH293" s="50"/>
      <c r="AI293" s="1"/>
      <c r="AJ293" s="1"/>
    </row>
    <row r="294" spans="1:36" ht="12.95" customHeight="1" x14ac:dyDescent="0.25">
      <c r="A294" s="56"/>
      <c r="B294" s="50"/>
      <c r="C294" s="39"/>
      <c r="D294" s="39"/>
      <c r="E294" s="36"/>
      <c r="F294" s="36"/>
      <c r="G294" s="36"/>
      <c r="H294" s="36"/>
      <c r="I294" s="36"/>
      <c r="J294" s="36"/>
      <c r="K294" s="36"/>
      <c r="L294" s="40">
        <v>0.51</v>
      </c>
      <c r="M294" s="40">
        <v>0.63</v>
      </c>
      <c r="N294" s="36"/>
      <c r="O294" s="36"/>
      <c r="P294" s="36"/>
      <c r="Q294" s="36"/>
      <c r="R294" s="36"/>
      <c r="S294" s="48">
        <v>0.25</v>
      </c>
      <c r="T294" s="33">
        <f>ROUND((L294*I292+1.3*L294*K292+S294*H292),4)</f>
        <v>186.74250000000001</v>
      </c>
      <c r="U294" s="33">
        <f>ROUND((M294*0.9*I292+1.3*M294*0.9*K292+S294*H292),4)</f>
        <v>205.93729999999999</v>
      </c>
      <c r="V294" s="33">
        <f>ROUND((M294*I292+1.3*M294*K292+S294*H292),4)</f>
        <v>227.1525</v>
      </c>
      <c r="W294" s="33">
        <f>ROUND((L294*J292+1.3*L294*N292+S294*G292),4)</f>
        <v>15.27</v>
      </c>
      <c r="X294" s="33">
        <f>ROUND((M294*0.9*J292+1.3*M294*0.9*N292+S294*G292),4)</f>
        <v>16.809000000000001</v>
      </c>
      <c r="Y294" s="33">
        <f>ROUND((M294*J292+1.3*M294*N292+S294*G292),4)</f>
        <v>18.510000000000002</v>
      </c>
      <c r="Z294" s="43">
        <f>ROUND((P292*T294*F292*O292/1000000),4)</f>
        <v>0</v>
      </c>
      <c r="AA294" s="43">
        <f>ROUND((Q292*U294*F292*O292/1000000),4)</f>
        <v>1E-3</v>
      </c>
      <c r="AB294" s="43">
        <f>ROUND((R292*V294*F292*O292/1000000),4)</f>
        <v>0</v>
      </c>
      <c r="AC294" s="44" t="s">
        <v>167</v>
      </c>
      <c r="AD294" s="45" t="s">
        <v>115</v>
      </c>
      <c r="AE294" s="30">
        <f>ROUND((((X294*E292)/1800)),4)</f>
        <v>9.2999999999999992E-3</v>
      </c>
      <c r="AF294" s="30">
        <f>ROUND(((Z294+AA294+AB294)),5)</f>
        <v>1E-3</v>
      </c>
      <c r="AG294" s="50"/>
      <c r="AH294" s="50"/>
      <c r="AI294" s="1"/>
      <c r="AJ294" s="1"/>
    </row>
    <row r="295" spans="1:36" ht="12.95" customHeight="1" x14ac:dyDescent="0.25">
      <c r="A295" s="56"/>
      <c r="B295" s="35"/>
      <c r="C295" s="36"/>
      <c r="D295" s="36"/>
      <c r="E295" s="36"/>
      <c r="F295" s="36"/>
      <c r="G295" s="36"/>
      <c r="H295" s="36"/>
      <c r="I295" s="36"/>
      <c r="J295" s="36"/>
      <c r="K295" s="36"/>
      <c r="L295" s="40">
        <v>1.1399999999999999</v>
      </c>
      <c r="M295" s="40">
        <v>1.37</v>
      </c>
      <c r="N295" s="36"/>
      <c r="O295" s="36"/>
      <c r="P295" s="36"/>
      <c r="Q295" s="36"/>
      <c r="R295" s="36"/>
      <c r="S295" s="49">
        <v>0.79</v>
      </c>
      <c r="T295" s="33">
        <f>ROUND((L295*I292+1.3*L295*K292+S295*H292),4)</f>
        <v>431.29500000000002</v>
      </c>
      <c r="U295" s="33">
        <f>ROUND((M295*0.9*I292+1.3*M295*0.9*K292+S295*H292),4)</f>
        <v>462.61279999999999</v>
      </c>
      <c r="V295" s="33">
        <f>ROUND((M295*I292+1.3*M295*K292+S295*H292),4)</f>
        <v>508.7475</v>
      </c>
      <c r="W295" s="33">
        <f>ROUND((L295*J292+1.3*L295*N292+S295*G292),4)</f>
        <v>35.520000000000003</v>
      </c>
      <c r="X295" s="33">
        <f>ROUND((M295*0.9*J292+1.3*M295*0.9*N292+S295*G292),4)</f>
        <v>38.030999999999999</v>
      </c>
      <c r="Y295" s="33">
        <f>ROUND((M295*J292+1.3*N292+S295*G292),4)</f>
        <v>36.92</v>
      </c>
      <c r="Z295" s="43">
        <f>ROUND((P292*T295*F292*O292/1000000),4)</f>
        <v>0</v>
      </c>
      <c r="AA295" s="43">
        <f>ROUND((Q292*U295*F292*O292/1000000),4)</f>
        <v>2.3E-3</v>
      </c>
      <c r="AB295" s="43">
        <f>ROUND((R292*V295*F292*O292/1000000),4)</f>
        <v>0</v>
      </c>
      <c r="AC295" s="44" t="s">
        <v>168</v>
      </c>
      <c r="AD295" s="45" t="s">
        <v>169</v>
      </c>
      <c r="AE295" s="30">
        <f>ROUND((((X295*E292)/1800)),4)</f>
        <v>2.1100000000000001E-2</v>
      </c>
      <c r="AF295" s="30">
        <f>ROUND(((Z295+AA295+AB295)),4)</f>
        <v>2.3E-3</v>
      </c>
      <c r="AG295" s="50"/>
      <c r="AH295" s="50"/>
      <c r="AI295" s="1"/>
      <c r="AJ295" s="1"/>
    </row>
    <row r="296" spans="1:36" ht="12.95" customHeight="1" x14ac:dyDescent="0.25">
      <c r="A296" s="56"/>
      <c r="B296" s="35"/>
      <c r="C296" s="36"/>
      <c r="D296" s="36"/>
      <c r="E296" s="36"/>
      <c r="F296" s="36"/>
      <c r="G296" s="36"/>
      <c r="H296" s="36"/>
      <c r="I296" s="36"/>
      <c r="J296" s="36"/>
      <c r="K296" s="36"/>
      <c r="L296" s="40">
        <v>0.72</v>
      </c>
      <c r="M296" s="40">
        <v>1.08</v>
      </c>
      <c r="N296" s="36"/>
      <c r="O296" s="36"/>
      <c r="P296" s="36"/>
      <c r="Q296" s="36"/>
      <c r="R296" s="36"/>
      <c r="S296" s="49">
        <v>0.17</v>
      </c>
      <c r="T296" s="33">
        <f>ROUND((L296*I292+1.3*L296*K292+S296*H292),4)</f>
        <v>252.66</v>
      </c>
      <c r="U296" s="33">
        <f>ROUND((M296*0.9*I292+1.3*M296*0.9*K292+S296*H292),4)</f>
        <v>337.52100000000002</v>
      </c>
      <c r="V296" s="33">
        <f>ROUND((M296*I292+1.3*M296*K292+S296*H292),4)</f>
        <v>373.89</v>
      </c>
      <c r="W296" s="33">
        <f>ROUND((L296*J292+1.3*L296*N292+S296*G292),4)</f>
        <v>20.46</v>
      </c>
      <c r="X296" s="33">
        <f>ROUND((M296*0.9*J292+1.3*M296*0.9*N292+S296*G292),4)</f>
        <v>27.263999999999999</v>
      </c>
      <c r="Y296" s="33">
        <f>ROUND((M296*J292+1.3*M296*N292+S296*G292),4)</f>
        <v>30.18</v>
      </c>
      <c r="Z296" s="43">
        <f>ROUND((P292*T296*F292*O292/1000000),4)</f>
        <v>0</v>
      </c>
      <c r="AA296" s="43">
        <f>ROUND((Q292*U296*F292*O292/1000000),4)</f>
        <v>1.6999999999999999E-3</v>
      </c>
      <c r="AB296" s="43">
        <f>ROUND((R292*V296*F292*O292/1000000),4)</f>
        <v>0</v>
      </c>
      <c r="AC296" s="44" t="s">
        <v>170</v>
      </c>
      <c r="AD296" s="45" t="s">
        <v>119</v>
      </c>
      <c r="AE296" s="30">
        <f>ROUND((((X296*E292)/1800)),4)</f>
        <v>1.5100000000000001E-2</v>
      </c>
      <c r="AF296" s="30">
        <f>ROUND(((Z296+AA296+AB296)),4)</f>
        <v>1.6999999999999999E-3</v>
      </c>
      <c r="AG296" s="50"/>
      <c r="AH296" s="50"/>
      <c r="AI296" s="1"/>
      <c r="AJ296" s="1"/>
    </row>
    <row r="297" spans="1:36" ht="12.95" customHeight="1" x14ac:dyDescent="0.25">
      <c r="A297" s="56"/>
      <c r="B297" s="41"/>
      <c r="C297" s="37"/>
      <c r="D297" s="37"/>
      <c r="E297" s="37"/>
      <c r="F297" s="37"/>
      <c r="G297" s="37"/>
      <c r="H297" s="37"/>
      <c r="I297" s="37"/>
      <c r="J297" s="37"/>
      <c r="K297" s="37"/>
      <c r="L297" s="40">
        <v>3.37</v>
      </c>
      <c r="M297" s="40">
        <v>4.1100000000000003</v>
      </c>
      <c r="N297" s="37"/>
      <c r="O297" s="37"/>
      <c r="P297" s="37"/>
      <c r="Q297" s="37"/>
      <c r="R297" s="37"/>
      <c r="S297" s="49">
        <v>6.31</v>
      </c>
      <c r="T297" s="33">
        <f>ROUND((L297*I292+1.3*L297*K292+S297*H292),4)</f>
        <v>1513.4475</v>
      </c>
      <c r="U297" s="33">
        <f>ROUND((M297*0.9*I292+1.3*M297*0.9*K292+S297*H292),4)</f>
        <v>1624.2383</v>
      </c>
      <c r="V297" s="33">
        <f>ROUND((M297*I292+1.3*M297*K292+S297*H292),4)</f>
        <v>1762.6424999999999</v>
      </c>
      <c r="W297" s="33">
        <f>ROUND((L297*J292+1.3*L297*N292+S297*G292),4)</f>
        <v>128.85</v>
      </c>
      <c r="X297" s="33">
        <f>ROUND((M297*0.9*J292+1.3*M297*0.9*N292+S297*G292),4)</f>
        <v>137.733</v>
      </c>
      <c r="Y297" s="33">
        <f>ROUND((M297*J292+1.3*M297*N292+S297*G292),4)</f>
        <v>148.83000000000001</v>
      </c>
      <c r="Z297" s="43">
        <f>ROUND((P292*T297*F292*O292/1000000),4)</f>
        <v>0</v>
      </c>
      <c r="AA297" s="43">
        <f>ROUND((Q292*U297*F292*O292/1000000),4)</f>
        <v>8.0999999999999996E-3</v>
      </c>
      <c r="AB297" s="43">
        <f>ROUND((R292*V297*F292*O292/1000000),4)</f>
        <v>0</v>
      </c>
      <c r="AC297" s="44" t="s">
        <v>171</v>
      </c>
      <c r="AD297" s="45" t="s">
        <v>104</v>
      </c>
      <c r="AE297" s="30">
        <f>ROUND((((X297*E292)/1800)),4)</f>
        <v>7.6499999999999999E-2</v>
      </c>
      <c r="AF297" s="30">
        <f>ROUND(((Z297+AA297+AB297)),4)</f>
        <v>8.0999999999999996E-3</v>
      </c>
      <c r="AG297" s="50"/>
      <c r="AH297" s="50"/>
      <c r="AI297" s="1"/>
      <c r="AJ297" s="1"/>
    </row>
    <row r="298" spans="1:36" ht="12.95" customHeight="1" x14ac:dyDescent="0.25">
      <c r="A298" s="36"/>
      <c r="B298" s="50" t="s">
        <v>181</v>
      </c>
      <c r="C298" s="31">
        <v>7</v>
      </c>
      <c r="D298" s="32" t="s">
        <v>179</v>
      </c>
      <c r="E298" s="32">
        <v>1</v>
      </c>
      <c r="F298" s="32">
        <v>1</v>
      </c>
      <c r="G298" s="32">
        <v>6</v>
      </c>
      <c r="H298" s="32">
        <v>60</v>
      </c>
      <c r="I298" s="32">
        <f>(8-1-0.75*2)*60*F298-K298-8*0.12*60</f>
        <v>57.900000000000006</v>
      </c>
      <c r="J298" s="32">
        <v>14</v>
      </c>
      <c r="K298" s="32">
        <f>(8-1-0.75*2)*0.65*60*F298</f>
        <v>214.5</v>
      </c>
      <c r="L298" s="33">
        <v>10.16</v>
      </c>
      <c r="M298" s="33">
        <v>10.16</v>
      </c>
      <c r="N298" s="32">
        <v>10</v>
      </c>
      <c r="O298" s="32">
        <f>E298/F298</f>
        <v>1</v>
      </c>
      <c r="P298" s="32">
        <v>0</v>
      </c>
      <c r="Q298" s="32">
        <v>60</v>
      </c>
      <c r="R298" s="42">
        <v>60</v>
      </c>
      <c r="S298" s="42">
        <v>1.99</v>
      </c>
      <c r="T298" s="33">
        <f>ROUND((L298*I298+1.3*L298*K298+S298*H298),4)</f>
        <v>3540.78</v>
      </c>
      <c r="U298" s="33">
        <f>ROUND((M298*I298+1.3*M298*K298+S298*H298),4)</f>
        <v>3540.78</v>
      </c>
      <c r="V298" s="33">
        <f>ROUND((M298*I298+1.3*M298*K298+S298*H298),4)</f>
        <v>3540.78</v>
      </c>
      <c r="W298" s="33">
        <f>ROUND((L298*J298+1.3*L298*N298+S298*G298),4)</f>
        <v>286.26</v>
      </c>
      <c r="X298" s="33">
        <f>ROUND((M298*J298+1.3*M298*N298+S298*G298),4)</f>
        <v>286.26</v>
      </c>
      <c r="Y298" s="33">
        <f>ROUND((M298*J298+1.3*M298*N298+S298*G298),4)</f>
        <v>286.26</v>
      </c>
      <c r="Z298" s="43">
        <f>ROUND((P298*T298*F298*O298/1000000),4)</f>
        <v>0</v>
      </c>
      <c r="AA298" s="43">
        <f>ROUND((Q298*U298*F298*O298/1000000),4)</f>
        <v>0.21240000000000001</v>
      </c>
      <c r="AB298" s="43">
        <f>ROUND((R298*V298*F298*O298/1000000),4)</f>
        <v>0.21240000000000001</v>
      </c>
      <c r="AC298" s="44" t="s">
        <v>111</v>
      </c>
      <c r="AD298" s="45" t="s">
        <v>95</v>
      </c>
      <c r="AE298" s="30">
        <f>ROUND((((X298*E298)/1800)*0.8),4)</f>
        <v>0.12720000000000001</v>
      </c>
      <c r="AF298" s="30">
        <f>ROUND(((Z298+AA298+AB298)*0.8),4)</f>
        <v>0.33979999999999999</v>
      </c>
      <c r="AG298" s="50"/>
      <c r="AH298" s="50"/>
    </row>
    <row r="299" spans="1:36" ht="12.95" customHeight="1" x14ac:dyDescent="0.25">
      <c r="A299" s="36"/>
      <c r="B299" s="35" t="s">
        <v>182</v>
      </c>
      <c r="C299" s="36"/>
      <c r="D299" s="36"/>
      <c r="E299" s="36"/>
      <c r="F299" s="36"/>
      <c r="G299" s="36"/>
      <c r="H299" s="36"/>
      <c r="I299" s="36"/>
      <c r="J299" s="36"/>
      <c r="K299" s="36"/>
      <c r="L299" s="37"/>
      <c r="M299" s="37"/>
      <c r="N299" s="36"/>
      <c r="O299" s="36"/>
      <c r="P299" s="36"/>
      <c r="Q299" s="36"/>
      <c r="R299" s="36"/>
      <c r="S299" s="46"/>
      <c r="T299" s="47"/>
      <c r="U299" s="47"/>
      <c r="V299" s="47"/>
      <c r="W299" s="47"/>
      <c r="X299" s="47"/>
      <c r="Y299" s="47"/>
      <c r="Z299" s="47"/>
      <c r="AA299" s="47"/>
      <c r="AB299" s="47"/>
      <c r="AC299" s="44" t="s">
        <v>112</v>
      </c>
      <c r="AD299" s="45" t="s">
        <v>113</v>
      </c>
      <c r="AE299" s="30">
        <f>ROUND((((X298*E298)/1800)*0.13),4)</f>
        <v>2.07E-2</v>
      </c>
      <c r="AF299" s="30">
        <f>ROUND(((Z298+AA298+AB298)*0.13),4)</f>
        <v>5.5199999999999999E-2</v>
      </c>
      <c r="AG299" s="50"/>
      <c r="AH299" s="50"/>
    </row>
    <row r="300" spans="1:36" ht="12.95" customHeight="1" x14ac:dyDescent="0.25">
      <c r="A300" s="36"/>
      <c r="C300" s="39"/>
      <c r="D300" s="39"/>
      <c r="E300" s="36"/>
      <c r="F300" s="36"/>
      <c r="G300" s="36"/>
      <c r="H300" s="36"/>
      <c r="I300" s="36"/>
      <c r="J300" s="36"/>
      <c r="K300" s="36"/>
      <c r="L300" s="40">
        <v>0.8</v>
      </c>
      <c r="M300" s="40">
        <v>0.98</v>
      </c>
      <c r="N300" s="36"/>
      <c r="O300" s="36"/>
      <c r="P300" s="36"/>
      <c r="Q300" s="36"/>
      <c r="R300" s="36"/>
      <c r="S300" s="48">
        <v>0.39</v>
      </c>
      <c r="T300" s="33">
        <f>ROUND((L300*I298+1.3*L300*K298+S300*H298),4)</f>
        <v>292.8</v>
      </c>
      <c r="U300" s="33">
        <f>ROUND((M300*0.9*I298+1.3*M300*0.9*K298+S300*H298),4)</f>
        <v>320.4135</v>
      </c>
      <c r="V300" s="33">
        <f>ROUND((M300*I298+1.3*M300*K298+S300*H298),4)</f>
        <v>353.41500000000002</v>
      </c>
      <c r="W300" s="33">
        <f>ROUND((L300*J298+1.3*L300*N298+S300*G298),4)</f>
        <v>23.94</v>
      </c>
      <c r="X300" s="33">
        <f>ROUND((M300*0.9*J298+1.3*M300*0.9*N298+S300*G298),4)</f>
        <v>26.154</v>
      </c>
      <c r="Y300" s="33">
        <f>ROUND((M300*J298+1.3*M300*N298+S300*G298),4)</f>
        <v>28.8</v>
      </c>
      <c r="Z300" s="43">
        <f>ROUND((P298*T300*F298*O298/1000000),4)</f>
        <v>0</v>
      </c>
      <c r="AA300" s="43">
        <f>ROUND((Q298*U300*F298*O298/1000000),4)</f>
        <v>1.9199999999999998E-2</v>
      </c>
      <c r="AB300" s="43">
        <f>ROUND((R298*V300*F298*O298/1000000),4)</f>
        <v>2.12E-2</v>
      </c>
      <c r="AC300" s="44" t="s">
        <v>167</v>
      </c>
      <c r="AD300" s="45" t="s">
        <v>115</v>
      </c>
      <c r="AE300" s="30">
        <f>ROUND((((X300*E298)/1800)),4)</f>
        <v>1.4500000000000001E-2</v>
      </c>
      <c r="AF300" s="30">
        <f>ROUND(((Z300+AA300+AB300)),5)</f>
        <v>4.0399999999999998E-2</v>
      </c>
      <c r="AG300" s="50"/>
      <c r="AH300" s="50"/>
    </row>
    <row r="301" spans="1:36" ht="12.95" customHeight="1" x14ac:dyDescent="0.25">
      <c r="A301" s="36"/>
      <c r="C301" s="36"/>
      <c r="D301" s="36"/>
      <c r="E301" s="36"/>
      <c r="F301" s="36"/>
      <c r="G301" s="36"/>
      <c r="H301" s="36"/>
      <c r="I301" s="36"/>
      <c r="J301" s="36"/>
      <c r="K301" s="36"/>
      <c r="L301" s="40">
        <v>1.79</v>
      </c>
      <c r="M301" s="40">
        <v>2.15</v>
      </c>
      <c r="N301" s="36"/>
      <c r="O301" s="36"/>
      <c r="P301" s="36"/>
      <c r="Q301" s="36"/>
      <c r="R301" s="36"/>
      <c r="S301" s="49">
        <v>1.24</v>
      </c>
      <c r="T301" s="33">
        <f>ROUND((L301*I298+1.3*L301*K298+S301*H298),4)</f>
        <v>677.1825</v>
      </c>
      <c r="U301" s="33">
        <f>ROUND((M301*0.9*I298+1.3*M301*0.9*K298+S301*H298),4)</f>
        <v>726.01130000000001</v>
      </c>
      <c r="V301" s="33">
        <f>ROUND((M301*I298+1.3*M301*K298+S301*H298),4)</f>
        <v>798.41250000000002</v>
      </c>
      <c r="W301" s="33">
        <f>ROUND((L301*J298+1.3*L301*N298+S301*G298),4)</f>
        <v>55.77</v>
      </c>
      <c r="X301" s="33">
        <f>ROUND((M301*0.9*J298+1.3*M301*0.9*N298+S301*G298),4)</f>
        <v>59.685000000000002</v>
      </c>
      <c r="Y301" s="33">
        <f>ROUND((M301*J298+1.3*N298+S301*G298),4)</f>
        <v>50.54</v>
      </c>
      <c r="Z301" s="43">
        <f>ROUND((P298*T301*F298*O298/1000000),4)</f>
        <v>0</v>
      </c>
      <c r="AA301" s="43">
        <f>ROUND((Q298*U301*F298*O298/1000000),4)</f>
        <v>4.36E-2</v>
      </c>
      <c r="AB301" s="43">
        <f>ROUND((R298*V301*F298*O298/1000000),4)</f>
        <v>4.7899999999999998E-2</v>
      </c>
      <c r="AC301" s="44" t="s">
        <v>168</v>
      </c>
      <c r="AD301" s="45" t="s">
        <v>169</v>
      </c>
      <c r="AE301" s="30">
        <f>ROUND((((X301*E298)/1800)),4)</f>
        <v>3.32E-2</v>
      </c>
      <c r="AF301" s="30">
        <f>ROUND(((Z301+AA301+AB301)),4)</f>
        <v>9.1499999999999998E-2</v>
      </c>
      <c r="AG301" s="50"/>
      <c r="AH301" s="50"/>
    </row>
    <row r="302" spans="1:36" ht="12.95" customHeight="1" x14ac:dyDescent="0.25">
      <c r="A302" s="36"/>
      <c r="B302" s="35"/>
      <c r="C302" s="36"/>
      <c r="D302" s="36"/>
      <c r="E302" s="36"/>
      <c r="F302" s="36"/>
      <c r="G302" s="36"/>
      <c r="H302" s="36"/>
      <c r="I302" s="36"/>
      <c r="J302" s="36"/>
      <c r="K302" s="36"/>
      <c r="L302" s="40">
        <v>1.1299999999999999</v>
      </c>
      <c r="M302" s="40">
        <v>1.7</v>
      </c>
      <c r="N302" s="36"/>
      <c r="O302" s="36"/>
      <c r="P302" s="36"/>
      <c r="Q302" s="36"/>
      <c r="R302" s="36"/>
      <c r="S302" s="49">
        <v>0.26</v>
      </c>
      <c r="T302" s="33">
        <f>ROUND((L302*I298+1.3*L302*K298+S302*H298),4)</f>
        <v>396.1275</v>
      </c>
      <c r="U302" s="33">
        <f>ROUND((M302*0.9*I298+1.3*M302*0.9*K298+S302*H298),4)</f>
        <v>530.82749999999999</v>
      </c>
      <c r="V302" s="33">
        <f>ROUND((M302*I298+1.3*M302*K298+S302*H298),4)</f>
        <v>588.07500000000005</v>
      </c>
      <c r="W302" s="33">
        <f>ROUND((L302*J298+1.3*L302*N298+S302*G298),4)</f>
        <v>32.07</v>
      </c>
      <c r="X302" s="33">
        <f>ROUND((M302*0.9*J298+1.3*M302*0.9*N298+S302*G298),4)</f>
        <v>42.87</v>
      </c>
      <c r="Y302" s="33">
        <f>ROUND((M302*J298+1.3*M302*N298+S302*G298),4)</f>
        <v>47.46</v>
      </c>
      <c r="Z302" s="43">
        <f>ROUND((P298*T302*F298*O298/1000000),4)</f>
        <v>0</v>
      </c>
      <c r="AA302" s="43">
        <f>ROUND((Q298*U302*F298*O298/1000000),4)</f>
        <v>3.1800000000000002E-2</v>
      </c>
      <c r="AB302" s="43">
        <f>ROUND((R298*V302*F298*O298/1000000),4)</f>
        <v>3.5299999999999998E-2</v>
      </c>
      <c r="AC302" s="44" t="s">
        <v>170</v>
      </c>
      <c r="AD302" s="45" t="s">
        <v>119</v>
      </c>
      <c r="AE302" s="30">
        <f>ROUND((((X302*E298)/1800)),4)</f>
        <v>2.3800000000000002E-2</v>
      </c>
      <c r="AF302" s="30">
        <f>ROUND(((Z302+AA302+AB302)),4)</f>
        <v>6.7100000000000007E-2</v>
      </c>
      <c r="AG302" s="50"/>
      <c r="AH302" s="50"/>
    </row>
    <row r="303" spans="1:36" ht="12.95" customHeight="1" x14ac:dyDescent="0.25">
      <c r="A303" s="36"/>
      <c r="B303" s="41"/>
      <c r="C303" s="37"/>
      <c r="D303" s="37"/>
      <c r="E303" s="37"/>
      <c r="F303" s="37"/>
      <c r="G303" s="37"/>
      <c r="H303" s="37"/>
      <c r="I303" s="37"/>
      <c r="J303" s="37"/>
      <c r="K303" s="37"/>
      <c r="L303" s="40">
        <v>5.3</v>
      </c>
      <c r="M303" s="40">
        <v>6.47</v>
      </c>
      <c r="N303" s="37"/>
      <c r="O303" s="37"/>
      <c r="P303" s="37"/>
      <c r="Q303" s="37"/>
      <c r="R303" s="37"/>
      <c r="S303" s="49">
        <v>9.92</v>
      </c>
      <c r="T303" s="33">
        <f>ROUND((L303*I298+1.3*L303*K298+S303*H298),4)</f>
        <v>2379.9749999999999</v>
      </c>
      <c r="U303" s="33">
        <f>ROUND((M303*0.9*I298+1.3*M303*0.9*K298+S303*H298),4)</f>
        <v>2556.0953</v>
      </c>
      <c r="V303" s="33">
        <f>ROUND((M303*I298+1.3*M303*K298+S303*H298),4)</f>
        <v>2773.9724999999999</v>
      </c>
      <c r="W303" s="33">
        <f>ROUND((L303*J298+1.3*L303*N298+S303*G298),4)</f>
        <v>202.62</v>
      </c>
      <c r="X303" s="33">
        <f>ROUND((M303*0.9*J298+1.3*M303*0.9*N298+S303*G298),4)</f>
        <v>216.74100000000001</v>
      </c>
      <c r="Y303" s="33">
        <f>ROUND((M303*J298+1.3*M303*N298+S303*G298),4)</f>
        <v>234.21</v>
      </c>
      <c r="Z303" s="43">
        <f>ROUND((P298*T303*F298*O298/1000000),4)</f>
        <v>0</v>
      </c>
      <c r="AA303" s="43">
        <f>ROUND((Q298*U303*F298*O298/1000000),4)</f>
        <v>0.15340000000000001</v>
      </c>
      <c r="AB303" s="43">
        <f>ROUND((R298*V303*F298*O298/1000000),4)</f>
        <v>0.16639999999999999</v>
      </c>
      <c r="AC303" s="44" t="s">
        <v>171</v>
      </c>
      <c r="AD303" s="45" t="s">
        <v>104</v>
      </c>
      <c r="AE303" s="30">
        <f>ROUND((((X303*E298)/1800)),4)</f>
        <v>0.12039999999999999</v>
      </c>
      <c r="AF303" s="30">
        <f>ROUND(((Z303+AA303+AB303)),4)</f>
        <v>0.31979999999999997</v>
      </c>
      <c r="AG303" s="50"/>
      <c r="AH303" s="50"/>
    </row>
    <row r="304" spans="1:36" ht="12.95" customHeight="1" x14ac:dyDescent="0.25">
      <c r="A304" s="56"/>
      <c r="B304" s="31" t="s">
        <v>192</v>
      </c>
      <c r="C304" s="31">
        <v>6</v>
      </c>
      <c r="D304" s="32" t="s">
        <v>175</v>
      </c>
      <c r="E304" s="32">
        <v>1</v>
      </c>
      <c r="F304" s="32">
        <v>1</v>
      </c>
      <c r="G304" s="32">
        <v>6</v>
      </c>
      <c r="H304" s="32">
        <v>60</v>
      </c>
      <c r="I304" s="32">
        <f>(8-1-0.75*2)*60*F304-K304-8*0.12*60</f>
        <v>57.900000000000006</v>
      </c>
      <c r="J304" s="32">
        <v>14</v>
      </c>
      <c r="K304" s="32">
        <f>(8-1-0.75*2)*0.65*60*F304</f>
        <v>214.5</v>
      </c>
      <c r="L304" s="33">
        <v>6.47</v>
      </c>
      <c r="M304" s="33">
        <v>6.47</v>
      </c>
      <c r="N304" s="32">
        <v>10</v>
      </c>
      <c r="O304" s="32">
        <f>E304/F304</f>
        <v>1</v>
      </c>
      <c r="P304" s="32">
        <v>0</v>
      </c>
      <c r="Q304" s="32">
        <v>30</v>
      </c>
      <c r="R304" s="42">
        <v>30</v>
      </c>
      <c r="S304" s="42">
        <v>1.27</v>
      </c>
      <c r="T304" s="33">
        <f>ROUND((L304*I304+1.3*L304*K304+S304*H304),4)</f>
        <v>2254.9724999999999</v>
      </c>
      <c r="U304" s="33">
        <f>ROUND((M304*I304+1.3*M304*K304+S304*H304),4)</f>
        <v>2254.9724999999999</v>
      </c>
      <c r="V304" s="33">
        <f>ROUND((M304*I304+1.3*M304*K304+S304*H304),4)</f>
        <v>2254.9724999999999</v>
      </c>
      <c r="W304" s="33">
        <f>ROUND((L304*J304+1.3*L304*N304+S304*G304),4)</f>
        <v>182.31</v>
      </c>
      <c r="X304" s="33">
        <f>ROUND((M304*J304+1.3*M304*N304+S304*G304),4)</f>
        <v>182.31</v>
      </c>
      <c r="Y304" s="33">
        <f>ROUND((M304*J304+1.3*M304*N304+S304*G304),4)</f>
        <v>182.31</v>
      </c>
      <c r="Z304" s="43">
        <f>ROUND((P304*T304*F304*O304/1000000),4)</f>
        <v>0</v>
      </c>
      <c r="AA304" s="43">
        <f>ROUND((Q304*U304*F304*O304/1000000),4)</f>
        <v>6.7599999999999993E-2</v>
      </c>
      <c r="AB304" s="43">
        <f>ROUND((R304*V304*F304*O304/1000000),4)</f>
        <v>6.7599999999999993E-2</v>
      </c>
      <c r="AC304" s="44" t="s">
        <v>111</v>
      </c>
      <c r="AD304" s="45" t="s">
        <v>95</v>
      </c>
      <c r="AE304" s="30">
        <f>ROUND((((X304*E304)/1800)*0.8),4)</f>
        <v>8.1000000000000003E-2</v>
      </c>
      <c r="AF304" s="30">
        <f>ROUND(((Z304+AA304+AB304)*0.8),4)</f>
        <v>0.1082</v>
      </c>
      <c r="AG304" s="50"/>
      <c r="AH304" s="50"/>
      <c r="AI304" s="1"/>
      <c r="AJ304" s="1"/>
    </row>
    <row r="305" spans="1:36" ht="12.95" customHeight="1" x14ac:dyDescent="0.25">
      <c r="A305" s="56"/>
      <c r="B305" s="35" t="s">
        <v>193</v>
      </c>
      <c r="C305" s="36"/>
      <c r="D305" s="36"/>
      <c r="E305" s="36"/>
      <c r="F305" s="36"/>
      <c r="G305" s="36"/>
      <c r="H305" s="36"/>
      <c r="I305" s="36"/>
      <c r="J305" s="36"/>
      <c r="K305" s="36"/>
      <c r="L305" s="37"/>
      <c r="M305" s="37"/>
      <c r="N305" s="36"/>
      <c r="O305" s="36"/>
      <c r="P305" s="36"/>
      <c r="Q305" s="36"/>
      <c r="R305" s="36"/>
      <c r="S305" s="46"/>
      <c r="T305" s="47"/>
      <c r="U305" s="47"/>
      <c r="V305" s="47"/>
      <c r="W305" s="47"/>
      <c r="X305" s="47"/>
      <c r="Y305" s="47"/>
      <c r="Z305" s="47"/>
      <c r="AA305" s="47"/>
      <c r="AB305" s="47"/>
      <c r="AC305" s="44" t="s">
        <v>112</v>
      </c>
      <c r="AD305" s="45" t="s">
        <v>113</v>
      </c>
      <c r="AE305" s="30">
        <f>ROUND((((X304*E304)/1800)*0.13),4)</f>
        <v>1.32E-2</v>
      </c>
      <c r="AF305" s="30">
        <f>ROUND(((Z304+AA304+AB304)*0.13),4)</f>
        <v>1.7600000000000001E-2</v>
      </c>
      <c r="AG305" s="50"/>
      <c r="AH305" s="50"/>
      <c r="AI305" s="1"/>
      <c r="AJ305" s="1"/>
    </row>
    <row r="306" spans="1:36" ht="12.95" customHeight="1" x14ac:dyDescent="0.25">
      <c r="A306" s="56"/>
      <c r="B306" s="50"/>
      <c r="C306" s="39"/>
      <c r="D306" s="39"/>
      <c r="E306" s="36"/>
      <c r="F306" s="36"/>
      <c r="G306" s="36"/>
      <c r="H306" s="36"/>
      <c r="I306" s="36"/>
      <c r="J306" s="36"/>
      <c r="K306" s="36"/>
      <c r="L306" s="40">
        <v>0.51</v>
      </c>
      <c r="M306" s="40">
        <v>0.63</v>
      </c>
      <c r="N306" s="36"/>
      <c r="O306" s="36"/>
      <c r="P306" s="36"/>
      <c r="Q306" s="36"/>
      <c r="R306" s="36"/>
      <c r="S306" s="48">
        <v>0.25</v>
      </c>
      <c r="T306" s="33">
        <f>ROUND((L306*I304+1.3*L306*K304+S306*H304),4)</f>
        <v>186.74250000000001</v>
      </c>
      <c r="U306" s="33">
        <f>ROUND((M306*0.9*I304+1.3*M306*0.9*K304+S306*H304),4)</f>
        <v>205.93729999999999</v>
      </c>
      <c r="V306" s="33">
        <f>ROUND((M306*I304+1.3*M306*K304+S306*H304),4)</f>
        <v>227.1525</v>
      </c>
      <c r="W306" s="33">
        <f>ROUND((L306*J304+1.3*L306*N304+S306*G304),4)</f>
        <v>15.27</v>
      </c>
      <c r="X306" s="33">
        <f>ROUND((M306*0.9*J304+1.3*M306*0.9*N304+S306*G304),4)</f>
        <v>16.809000000000001</v>
      </c>
      <c r="Y306" s="33">
        <f>ROUND((M306*J304+1.3*M306*N304+S306*G304),4)</f>
        <v>18.510000000000002</v>
      </c>
      <c r="Z306" s="43">
        <f>ROUND((P304*T306*F304*O304/1000000),4)</f>
        <v>0</v>
      </c>
      <c r="AA306" s="43">
        <f>ROUND((Q304*U306*F304*O304/1000000),4)</f>
        <v>6.1999999999999998E-3</v>
      </c>
      <c r="AB306" s="43">
        <f>ROUND((R304*V306*F304*O304/1000000),4)</f>
        <v>6.7999999999999996E-3</v>
      </c>
      <c r="AC306" s="44" t="s">
        <v>167</v>
      </c>
      <c r="AD306" s="45" t="s">
        <v>115</v>
      </c>
      <c r="AE306" s="30">
        <f>ROUND((((X306*E304)/1800)),4)</f>
        <v>9.2999999999999992E-3</v>
      </c>
      <c r="AF306" s="30">
        <f>ROUND(((Z306+AA306+AB306)),5)</f>
        <v>1.2999999999999999E-2</v>
      </c>
      <c r="AG306" s="50"/>
      <c r="AH306" s="50"/>
      <c r="AI306" s="1"/>
      <c r="AJ306" s="1"/>
    </row>
    <row r="307" spans="1:36" ht="12.95" customHeight="1" x14ac:dyDescent="0.25">
      <c r="A307" s="56"/>
      <c r="B307" s="35"/>
      <c r="C307" s="36"/>
      <c r="D307" s="36"/>
      <c r="E307" s="36"/>
      <c r="F307" s="36"/>
      <c r="G307" s="36"/>
      <c r="H307" s="36"/>
      <c r="I307" s="36"/>
      <c r="J307" s="36"/>
      <c r="K307" s="36"/>
      <c r="L307" s="40">
        <v>1.1399999999999999</v>
      </c>
      <c r="M307" s="40">
        <v>1.37</v>
      </c>
      <c r="N307" s="36"/>
      <c r="O307" s="36"/>
      <c r="P307" s="36"/>
      <c r="Q307" s="36"/>
      <c r="R307" s="36"/>
      <c r="S307" s="49">
        <v>0.79</v>
      </c>
      <c r="T307" s="33">
        <f>ROUND((L307*I304+1.3*L307*K304+S307*H304),4)</f>
        <v>431.29500000000002</v>
      </c>
      <c r="U307" s="33">
        <f>ROUND((M307*0.9*I304+1.3*M307*0.9*K304+S307*H304),4)</f>
        <v>462.61279999999999</v>
      </c>
      <c r="V307" s="33">
        <f>ROUND((M307*I304+1.3*M307*K304+S307*H304),4)</f>
        <v>508.7475</v>
      </c>
      <c r="W307" s="33">
        <f>ROUND((L307*J304+1.3*L307*N304+S307*G304),4)</f>
        <v>35.520000000000003</v>
      </c>
      <c r="X307" s="33">
        <f>ROUND((M307*0.9*J304+1.3*M307*0.9*N304+S307*G304),4)</f>
        <v>38.030999999999999</v>
      </c>
      <c r="Y307" s="33">
        <f>ROUND((M307*J304+1.3*N304+S307*G304),4)</f>
        <v>36.92</v>
      </c>
      <c r="Z307" s="43">
        <f>ROUND((P304*T307*F304*O304/1000000),4)</f>
        <v>0</v>
      </c>
      <c r="AA307" s="43">
        <f>ROUND((Q304*U307*F304*O304/1000000),4)</f>
        <v>1.3899999999999999E-2</v>
      </c>
      <c r="AB307" s="43">
        <f>ROUND((R304*V307*F304*O304/1000000),4)</f>
        <v>1.5299999999999999E-2</v>
      </c>
      <c r="AC307" s="44" t="s">
        <v>168</v>
      </c>
      <c r="AD307" s="45" t="s">
        <v>169</v>
      </c>
      <c r="AE307" s="30">
        <f>ROUND((((X307*E304)/1800)),4)</f>
        <v>2.1100000000000001E-2</v>
      </c>
      <c r="AF307" s="30">
        <f>ROUND(((Z307+AA307+AB307)),4)</f>
        <v>2.92E-2</v>
      </c>
      <c r="AG307" s="50"/>
      <c r="AH307" s="50"/>
      <c r="AI307" s="1"/>
      <c r="AJ307" s="1"/>
    </row>
    <row r="308" spans="1:36" ht="12.95" customHeight="1" x14ac:dyDescent="0.25">
      <c r="A308" s="56"/>
      <c r="B308" s="35"/>
      <c r="C308" s="36"/>
      <c r="D308" s="36"/>
      <c r="E308" s="36"/>
      <c r="F308" s="36"/>
      <c r="G308" s="36"/>
      <c r="H308" s="36"/>
      <c r="I308" s="36"/>
      <c r="J308" s="36"/>
      <c r="K308" s="36"/>
      <c r="L308" s="40">
        <v>0.72</v>
      </c>
      <c r="M308" s="40">
        <v>1.08</v>
      </c>
      <c r="N308" s="36"/>
      <c r="O308" s="36"/>
      <c r="P308" s="36"/>
      <c r="Q308" s="36"/>
      <c r="R308" s="36"/>
      <c r="S308" s="49">
        <v>0.17</v>
      </c>
      <c r="T308" s="33">
        <f>ROUND((L308*I304+1.3*L308*K304+S308*H304),4)</f>
        <v>252.66</v>
      </c>
      <c r="U308" s="33">
        <f>ROUND((M308*0.9*I304+1.3*M308*0.9*K304+S308*H304),4)</f>
        <v>337.52100000000002</v>
      </c>
      <c r="V308" s="33">
        <f>ROUND((M308*I304+1.3*M308*K304+S308*H304),4)</f>
        <v>373.89</v>
      </c>
      <c r="W308" s="33">
        <f>ROUND((L308*J304+1.3*L308*N304+S308*G304),4)</f>
        <v>20.46</v>
      </c>
      <c r="X308" s="33">
        <f>ROUND((M308*0.9*J304+1.3*M308*0.9*N304+S308*G304),4)</f>
        <v>27.263999999999999</v>
      </c>
      <c r="Y308" s="33">
        <f>ROUND((M308*J304+1.3*M308*N304+S308*G304),4)</f>
        <v>30.18</v>
      </c>
      <c r="Z308" s="43">
        <f>ROUND((P304*T308*F304*O304/1000000),4)</f>
        <v>0</v>
      </c>
      <c r="AA308" s="43">
        <f>ROUND((Q304*U308*F304*O304/1000000),4)</f>
        <v>1.01E-2</v>
      </c>
      <c r="AB308" s="43">
        <f>ROUND((R304*V308*F304*O304/1000000),4)</f>
        <v>1.12E-2</v>
      </c>
      <c r="AC308" s="44" t="s">
        <v>170</v>
      </c>
      <c r="AD308" s="45" t="s">
        <v>119</v>
      </c>
      <c r="AE308" s="30">
        <f>ROUND((((X308*E304)/1800)),4)</f>
        <v>1.5100000000000001E-2</v>
      </c>
      <c r="AF308" s="30">
        <f>ROUND(((Z308+AA308+AB308)),4)</f>
        <v>2.1299999999999999E-2</v>
      </c>
      <c r="AG308" s="50"/>
      <c r="AH308" s="50"/>
      <c r="AI308" s="1"/>
      <c r="AJ308" s="1"/>
    </row>
    <row r="309" spans="1:36" ht="12.95" customHeight="1" x14ac:dyDescent="0.25">
      <c r="A309" s="56"/>
      <c r="B309" s="41"/>
      <c r="C309" s="37"/>
      <c r="D309" s="37"/>
      <c r="E309" s="37"/>
      <c r="F309" s="37"/>
      <c r="G309" s="37"/>
      <c r="H309" s="37"/>
      <c r="I309" s="37"/>
      <c r="J309" s="37"/>
      <c r="K309" s="37"/>
      <c r="L309" s="40">
        <v>3.37</v>
      </c>
      <c r="M309" s="40">
        <v>4.1100000000000003</v>
      </c>
      <c r="N309" s="37"/>
      <c r="O309" s="37"/>
      <c r="P309" s="37"/>
      <c r="Q309" s="37"/>
      <c r="R309" s="37"/>
      <c r="S309" s="49">
        <v>6.31</v>
      </c>
      <c r="T309" s="33">
        <f>ROUND((L309*I304+1.3*L309*K304+S309*H304),4)</f>
        <v>1513.4475</v>
      </c>
      <c r="U309" s="33">
        <f>ROUND((M309*0.9*I304+1.3*M309*0.9*K304+S309*H304),4)</f>
        <v>1624.2383</v>
      </c>
      <c r="V309" s="33">
        <f>ROUND((M309*I304+1.3*M309*K304+S309*H304),4)</f>
        <v>1762.6424999999999</v>
      </c>
      <c r="W309" s="33">
        <f>ROUND((L309*J304+1.3*L309*N304+S309*G304),4)</f>
        <v>128.85</v>
      </c>
      <c r="X309" s="33">
        <f>ROUND((M309*0.9*J304+1.3*M309*0.9*N304+S309*G304),4)</f>
        <v>137.733</v>
      </c>
      <c r="Y309" s="33">
        <f>ROUND((M309*J304+1.3*M309*N304+S309*G304),4)</f>
        <v>148.83000000000001</v>
      </c>
      <c r="Z309" s="43">
        <f>ROUND((P304*T309*F304*O304/1000000),4)</f>
        <v>0</v>
      </c>
      <c r="AA309" s="43">
        <f>ROUND((Q304*U309*F304*O304/1000000),4)</f>
        <v>4.87E-2</v>
      </c>
      <c r="AB309" s="43">
        <f>ROUND((R304*V309*F304*O304/1000000),4)</f>
        <v>5.2900000000000003E-2</v>
      </c>
      <c r="AC309" s="44" t="s">
        <v>171</v>
      </c>
      <c r="AD309" s="45" t="s">
        <v>104</v>
      </c>
      <c r="AE309" s="30">
        <f>ROUND((((X309*E304)/1800)),4)</f>
        <v>7.6499999999999999E-2</v>
      </c>
      <c r="AF309" s="30">
        <f>ROUND(((Z309+AA309+AB309)),4)</f>
        <v>0.1016</v>
      </c>
      <c r="AG309" s="50"/>
      <c r="AH309" s="50"/>
      <c r="AI309" s="1"/>
      <c r="AJ309" s="1"/>
    </row>
    <row r="310" spans="1:36" ht="12.95" customHeight="1" x14ac:dyDescent="0.25">
      <c r="A310" s="36"/>
      <c r="B310" s="31" t="s">
        <v>194</v>
      </c>
      <c r="C310" s="31">
        <v>5</v>
      </c>
      <c r="D310" s="32" t="s">
        <v>173</v>
      </c>
      <c r="E310" s="32">
        <v>1</v>
      </c>
      <c r="F310" s="32">
        <v>1</v>
      </c>
      <c r="G310" s="32">
        <v>6</v>
      </c>
      <c r="H310" s="32">
        <v>60</v>
      </c>
      <c r="I310" s="32">
        <f>(8-1-0.75*2)*60*F310-K310-8*0.12*60</f>
        <v>57.900000000000006</v>
      </c>
      <c r="J310" s="32">
        <v>14</v>
      </c>
      <c r="K310" s="32">
        <f>(8-1-0.75*2)*0.65*60*F310</f>
        <v>214.5</v>
      </c>
      <c r="L310" s="33">
        <v>4.01</v>
      </c>
      <c r="M310" s="33">
        <v>4.01</v>
      </c>
      <c r="N310" s="32">
        <v>10</v>
      </c>
      <c r="O310" s="32">
        <f>E310/F310</f>
        <v>1</v>
      </c>
      <c r="P310" s="32">
        <v>0</v>
      </c>
      <c r="Q310" s="32">
        <v>10</v>
      </c>
      <c r="R310" s="42">
        <v>5</v>
      </c>
      <c r="S310" s="42">
        <v>0.78</v>
      </c>
      <c r="T310" s="33">
        <f>ROUND((L310*I310+1.3*L310*K310+S310*H310),4)</f>
        <v>1397.1675</v>
      </c>
      <c r="U310" s="33">
        <f>ROUND((M310*I310+1.3*M310*K310+S310*H310),4)</f>
        <v>1397.1675</v>
      </c>
      <c r="V310" s="33">
        <f>ROUND((M310*I310+1.3*M310*K310+S310*H310),4)</f>
        <v>1397.1675</v>
      </c>
      <c r="W310" s="33">
        <f>ROUND((L310*J310+1.3*L310*N310+S310*G310),4)</f>
        <v>112.95</v>
      </c>
      <c r="X310" s="33">
        <f>ROUND((M310*J310+1.3*M310*N310+S310*G310),4)</f>
        <v>112.95</v>
      </c>
      <c r="Y310" s="33">
        <f>ROUND((M310*J310+1.3*M310*N310+S310*G310),4)</f>
        <v>112.95</v>
      </c>
      <c r="Z310" s="43">
        <f>ROUND((P310*T310*F310*O310/1000000),4)</f>
        <v>0</v>
      </c>
      <c r="AA310" s="43">
        <f>ROUND((Q310*U310*F310*O310/1000000),4)</f>
        <v>1.4E-2</v>
      </c>
      <c r="AB310" s="43">
        <f>ROUND((R310*V310*F310*O310/1000000),4)</f>
        <v>7.0000000000000001E-3</v>
      </c>
      <c r="AC310" s="44" t="s">
        <v>111</v>
      </c>
      <c r="AD310" s="45" t="s">
        <v>95</v>
      </c>
      <c r="AE310" s="30">
        <f>ROUND((((X310*E310)/1800)*0.8),4)</f>
        <v>5.0200000000000002E-2</v>
      </c>
      <c r="AF310" s="30">
        <f>ROUND(((Z310+AA310+AB310)*0.8),4)</f>
        <v>1.6799999999999999E-2</v>
      </c>
      <c r="AG310" s="50"/>
      <c r="AH310" s="50"/>
    </row>
    <row r="311" spans="1:36" ht="12.95" customHeight="1" x14ac:dyDescent="0.25">
      <c r="A311" s="36"/>
      <c r="B311" s="34" t="s">
        <v>195</v>
      </c>
      <c r="C311" s="35"/>
      <c r="D311" s="36"/>
      <c r="E311" s="36"/>
      <c r="F311" s="36"/>
      <c r="G311" s="36"/>
      <c r="H311" s="36"/>
      <c r="I311" s="36"/>
      <c r="J311" s="36"/>
      <c r="K311" s="36"/>
      <c r="L311" s="37"/>
      <c r="M311" s="37"/>
      <c r="N311" s="36"/>
      <c r="O311" s="36"/>
      <c r="P311" s="36"/>
      <c r="Q311" s="36"/>
      <c r="R311" s="36"/>
      <c r="S311" s="46"/>
      <c r="T311" s="47"/>
      <c r="U311" s="47"/>
      <c r="V311" s="47"/>
      <c r="W311" s="47"/>
      <c r="X311" s="47"/>
      <c r="Y311" s="47"/>
      <c r="Z311" s="47"/>
      <c r="AA311" s="47"/>
      <c r="AB311" s="47"/>
      <c r="AC311" s="44" t="s">
        <v>112</v>
      </c>
      <c r="AD311" s="45" t="s">
        <v>113</v>
      </c>
      <c r="AE311" s="30">
        <f>ROUND((((X310*E310)/1800)*0.13),4)</f>
        <v>8.2000000000000007E-3</v>
      </c>
      <c r="AF311" s="30">
        <f>ROUND(((Z310+AA310+AB310)*0.13),4)</f>
        <v>2.7000000000000001E-3</v>
      </c>
      <c r="AG311" s="50"/>
      <c r="AH311" s="50"/>
    </row>
    <row r="312" spans="1:36" ht="12.95" customHeight="1" x14ac:dyDescent="0.25">
      <c r="A312" s="36"/>
      <c r="B312" s="35"/>
      <c r="C312" s="38"/>
      <c r="D312" s="39"/>
      <c r="E312" s="36"/>
      <c r="F312" s="36"/>
      <c r="G312" s="36"/>
      <c r="H312" s="36"/>
      <c r="I312" s="36"/>
      <c r="J312" s="36"/>
      <c r="K312" s="36"/>
      <c r="L312" s="40">
        <v>0.31</v>
      </c>
      <c r="M312" s="40">
        <v>0.38</v>
      </c>
      <c r="N312" s="36"/>
      <c r="O312" s="36"/>
      <c r="P312" s="36"/>
      <c r="Q312" s="36"/>
      <c r="R312" s="36"/>
      <c r="S312" s="48">
        <v>0.16</v>
      </c>
      <c r="T312" s="33">
        <f>ROUND((L312*I310+1.3*L312*K310+S312*H310),4)</f>
        <v>113.99250000000001</v>
      </c>
      <c r="U312" s="33">
        <f>ROUND((M312*0.9*I310+1.3*M312*0.9*K310+S312*H310),4)</f>
        <v>124.7685</v>
      </c>
      <c r="V312" s="33">
        <f>ROUND((M312*I310+1.3*M312*K310+S312*H310),4)</f>
        <v>137.565</v>
      </c>
      <c r="W312" s="33">
        <f>ROUND((L312*J310+1.3*L312*N310+S312*G310),4)</f>
        <v>9.33</v>
      </c>
      <c r="X312" s="33">
        <f>ROUND((M312*0.9*J310+1.3*M312*0.9*N310+S312*G310),4)</f>
        <v>10.194000000000001</v>
      </c>
      <c r="Y312" s="33">
        <f>ROUND((M312*J310+1.3*M312*N310+S312*G310),4)</f>
        <v>11.22</v>
      </c>
      <c r="Z312" s="43">
        <f>ROUND((P310*T312*F310*O310/1000000),4)</f>
        <v>0</v>
      </c>
      <c r="AA312" s="43">
        <f>ROUND((Q310*U312*F310*O310/1000000),4)</f>
        <v>1.1999999999999999E-3</v>
      </c>
      <c r="AB312" s="43">
        <f>ROUND((R310*V312*F310*O310/1000000),4)</f>
        <v>6.9999999999999999E-4</v>
      </c>
      <c r="AC312" s="44" t="s">
        <v>167</v>
      </c>
      <c r="AD312" s="45" t="s">
        <v>115</v>
      </c>
      <c r="AE312" s="30">
        <f>ROUND((((X312*E310)/1800)),4)</f>
        <v>5.7000000000000002E-3</v>
      </c>
      <c r="AF312" s="30">
        <f>ROUND(((Z312+AA312+AB312)),5)</f>
        <v>1.9E-3</v>
      </c>
      <c r="AG312" s="50"/>
      <c r="AH312" s="50"/>
    </row>
    <row r="313" spans="1:36" ht="12.95" customHeight="1" x14ac:dyDescent="0.25">
      <c r="A313" s="36"/>
      <c r="B313" s="35"/>
      <c r="C313" s="35"/>
      <c r="D313" s="36"/>
      <c r="E313" s="36"/>
      <c r="F313" s="36"/>
      <c r="G313" s="36"/>
      <c r="H313" s="36"/>
      <c r="I313" s="36"/>
      <c r="J313" s="36"/>
      <c r="K313" s="36"/>
      <c r="L313" s="40">
        <v>0.71</v>
      </c>
      <c r="M313" s="40">
        <v>0.85</v>
      </c>
      <c r="N313" s="36"/>
      <c r="O313" s="36"/>
      <c r="P313" s="36"/>
      <c r="Q313" s="36"/>
      <c r="R313" s="36"/>
      <c r="S313" s="49">
        <v>0.49</v>
      </c>
      <c r="T313" s="33">
        <f>ROUND((L313*I310+1.3*L313*K310+S313*H310),4)</f>
        <v>268.49250000000001</v>
      </c>
      <c r="U313" s="33">
        <f>ROUND((M313*0.9*I310+1.3*M313*0.9*K310+S313*H310),4)</f>
        <v>287.0138</v>
      </c>
      <c r="V313" s="33">
        <f>ROUND((M313*I310+1.3*M313*K310+S313*H310),4)</f>
        <v>315.63749999999999</v>
      </c>
      <c r="W313" s="33">
        <f>ROUND((L313*J310+1.3*L313*N310+S313*G310),4)</f>
        <v>22.11</v>
      </c>
      <c r="X313" s="33">
        <f>ROUND((M313*0.9*J310+1.3*M313*0.9*N310+S313*G310),4)</f>
        <v>23.594999999999999</v>
      </c>
      <c r="Y313" s="33">
        <f>ROUND((M313*J310+1.3*N310+S313*G310),4)</f>
        <v>27.84</v>
      </c>
      <c r="Z313" s="43">
        <f>ROUND((P310*T313*F310*O310/1000000),4)</f>
        <v>0</v>
      </c>
      <c r="AA313" s="43">
        <f>ROUND((Q310*U313*F310*O310/1000000),4)</f>
        <v>2.8999999999999998E-3</v>
      </c>
      <c r="AB313" s="43">
        <f>ROUND((R310*V313*F310*O310/1000000),4)</f>
        <v>1.6000000000000001E-3</v>
      </c>
      <c r="AC313" s="44" t="s">
        <v>168</v>
      </c>
      <c r="AD313" s="45" t="s">
        <v>169</v>
      </c>
      <c r="AE313" s="30">
        <f>ROUND((((X313*E310)/1800)),4)</f>
        <v>1.3100000000000001E-2</v>
      </c>
      <c r="AF313" s="30">
        <f>ROUND(((Z313+AA313+AB313)),4)</f>
        <v>4.4999999999999997E-3</v>
      </c>
      <c r="AG313" s="50"/>
      <c r="AH313" s="50"/>
    </row>
    <row r="314" spans="1:36" ht="12.95" customHeight="1" x14ac:dyDescent="0.25">
      <c r="A314" s="36"/>
      <c r="B314" s="35"/>
      <c r="C314" s="35"/>
      <c r="D314" s="36"/>
      <c r="E314" s="36"/>
      <c r="F314" s="36"/>
      <c r="G314" s="36"/>
      <c r="H314" s="36"/>
      <c r="I314" s="36"/>
      <c r="J314" s="36"/>
      <c r="K314" s="36"/>
      <c r="L314" s="40">
        <v>0.45</v>
      </c>
      <c r="M314" s="40">
        <v>0.67</v>
      </c>
      <c r="N314" s="36"/>
      <c r="O314" s="36"/>
      <c r="P314" s="36"/>
      <c r="Q314" s="36"/>
      <c r="R314" s="36"/>
      <c r="S314" s="49">
        <v>0.1</v>
      </c>
      <c r="T314" s="33">
        <f>ROUND((L314*I310+1.3*L314*K310+S314*H310),4)</f>
        <v>157.53749999999999</v>
      </c>
      <c r="U314" s="33">
        <f>ROUND((M314*0.9*I310+1.3*M314*0.9*K310+S314*H310),4)</f>
        <v>209.06030000000001</v>
      </c>
      <c r="V314" s="33">
        <f>ROUND((M314*I310+1.3*M314*K310+S314*H310),4)</f>
        <v>231.6225</v>
      </c>
      <c r="W314" s="33">
        <f>ROUND((L314*J310+1.3*L314*N310+S314*G310),4)</f>
        <v>12.75</v>
      </c>
      <c r="X314" s="33">
        <f>ROUND((M314*0.9*J310+1.3*M314*0.9*N310+S314*G310),4)</f>
        <v>16.881</v>
      </c>
      <c r="Y314" s="33">
        <f>ROUND((M314*J310+1.3*M314*N310+S314*G310),4)</f>
        <v>18.690000000000001</v>
      </c>
      <c r="Z314" s="43">
        <f>ROUND((P310*T314*F310*O310/1000000),4)</f>
        <v>0</v>
      </c>
      <c r="AA314" s="43">
        <f>ROUND((Q310*U314*F310*O310/1000000),4)</f>
        <v>2.0999999999999999E-3</v>
      </c>
      <c r="AB314" s="43">
        <f>ROUND((R310*V314*F310*O310/1000000),4)</f>
        <v>1.1999999999999999E-3</v>
      </c>
      <c r="AC314" s="44" t="s">
        <v>170</v>
      </c>
      <c r="AD314" s="45" t="s">
        <v>119</v>
      </c>
      <c r="AE314" s="30">
        <f>ROUND((((X314*E310)/1800)),4)</f>
        <v>9.4000000000000004E-3</v>
      </c>
      <c r="AF314" s="30">
        <f>ROUND(((Z314+AA314+AB314)),4)</f>
        <v>3.3E-3</v>
      </c>
      <c r="AG314" s="50"/>
      <c r="AH314" s="50"/>
    </row>
    <row r="315" spans="1:36" ht="12.95" customHeight="1" x14ac:dyDescent="0.25">
      <c r="A315" s="36"/>
      <c r="B315" s="41"/>
      <c r="C315" s="41"/>
      <c r="D315" s="37"/>
      <c r="E315" s="37"/>
      <c r="F315" s="37"/>
      <c r="G315" s="37"/>
      <c r="H315" s="37"/>
      <c r="I315" s="37"/>
      <c r="J315" s="37"/>
      <c r="K315" s="37"/>
      <c r="L315" s="40">
        <v>2.09</v>
      </c>
      <c r="M315" s="40">
        <v>2.5499999999999998</v>
      </c>
      <c r="N315" s="37"/>
      <c r="O315" s="37"/>
      <c r="P315" s="37"/>
      <c r="Q315" s="37"/>
      <c r="R315" s="37"/>
      <c r="S315" s="49">
        <v>3.91</v>
      </c>
      <c r="T315" s="33">
        <f>ROUND((L315*I310+1.3*L315*K310+S315*H310),4)</f>
        <v>938.40750000000003</v>
      </c>
      <c r="U315" s="33">
        <f>ROUND((M315*0.9*I310+1.3*M315*0.9*K310+S315*H310),4)</f>
        <v>1007.4413</v>
      </c>
      <c r="V315" s="33">
        <f>ROUND((M315*I310+1.3*M315*K310+S315*H310),4)</f>
        <v>1093.3125</v>
      </c>
      <c r="W315" s="33">
        <f>ROUND((L315*J310+1.3*L315*N310+S315*G310),4)</f>
        <v>79.89</v>
      </c>
      <c r="X315" s="33">
        <f>ROUND((M315*0.9*J310+1.3*M315*0.9*N310+S315*G310),4)</f>
        <v>85.424999999999997</v>
      </c>
      <c r="Y315" s="33">
        <f>ROUND((M315*J310+1.3*M315*N310+S315*G310),4)</f>
        <v>92.31</v>
      </c>
      <c r="Z315" s="43">
        <f>ROUND((P310*T315*F310*O310/1000000),4)</f>
        <v>0</v>
      </c>
      <c r="AA315" s="43">
        <f>ROUND((Q310*U315*F310*O310/1000000),4)</f>
        <v>1.01E-2</v>
      </c>
      <c r="AB315" s="43">
        <f>ROUND((R310*V315*F310*O310/1000000),4)</f>
        <v>5.4999999999999997E-3</v>
      </c>
      <c r="AC315" s="44" t="s">
        <v>171</v>
      </c>
      <c r="AD315" s="45" t="s">
        <v>104</v>
      </c>
      <c r="AE315" s="30">
        <f>ROUND((((X315*E310)/1800)),4)</f>
        <v>4.7500000000000001E-2</v>
      </c>
      <c r="AF315" s="30">
        <f>ROUND(((Z315+AA315+AB315)),4)</f>
        <v>1.5599999999999999E-2</v>
      </c>
      <c r="AG315" s="50"/>
      <c r="AH315" s="50"/>
    </row>
    <row r="316" spans="1:36" ht="12.95" customHeight="1" x14ac:dyDescent="0.25">
      <c r="A316" s="36"/>
      <c r="B316" s="50" t="s">
        <v>198</v>
      </c>
      <c r="C316" s="31">
        <v>3</v>
      </c>
      <c r="D316" s="32" t="s">
        <v>187</v>
      </c>
      <c r="E316" s="32">
        <v>1</v>
      </c>
      <c r="F316" s="32">
        <v>1</v>
      </c>
      <c r="G316" s="32">
        <v>6</v>
      </c>
      <c r="H316" s="32">
        <v>60</v>
      </c>
      <c r="I316" s="32">
        <f>(8-1-0.75*2)*60*F316-K316-8*0.12*60</f>
        <v>57.900000000000006</v>
      </c>
      <c r="J316" s="32">
        <v>14</v>
      </c>
      <c r="K316" s="32">
        <f>(8-1-0.75*2)*0.65*60*F316</f>
        <v>214.5</v>
      </c>
      <c r="L316" s="33">
        <v>1.49</v>
      </c>
      <c r="M316" s="33">
        <v>1.49</v>
      </c>
      <c r="N316" s="32">
        <v>10</v>
      </c>
      <c r="O316" s="32">
        <f>E316/F316</f>
        <v>1</v>
      </c>
      <c r="P316" s="32">
        <v>0</v>
      </c>
      <c r="Q316" s="32">
        <v>60</v>
      </c>
      <c r="R316" s="42">
        <v>60</v>
      </c>
      <c r="S316" s="42">
        <v>0.28999999999999998</v>
      </c>
      <c r="T316" s="33">
        <f>ROUND((L316*I316+1.3*L316*K316+S316*H316),4)</f>
        <v>519.15750000000003</v>
      </c>
      <c r="U316" s="33">
        <f>ROUND((M316*I316+1.3*M316*K316+S316*H316),4)</f>
        <v>519.15750000000003</v>
      </c>
      <c r="V316" s="33">
        <f>ROUND((M316*I316+1.3*M316*K316+S316*H316),4)</f>
        <v>519.15750000000003</v>
      </c>
      <c r="W316" s="33">
        <f>ROUND((L316*J316+1.3*L316*N316+S316*G316),4)</f>
        <v>41.97</v>
      </c>
      <c r="X316" s="33">
        <f>ROUND((M316*J316+1.3*M316*N316+S316*G316),4)</f>
        <v>41.97</v>
      </c>
      <c r="Y316" s="33">
        <f>ROUND((M316*J316+1.3*M316*N316+S316*G316),4)</f>
        <v>41.97</v>
      </c>
      <c r="Z316" s="43">
        <f>ROUND((P316*T316*F316*O316/1000000),4)</f>
        <v>0</v>
      </c>
      <c r="AA316" s="43">
        <f>ROUND((Q316*U316*F316*O316/1000000),4)</f>
        <v>3.1099999999999999E-2</v>
      </c>
      <c r="AB316" s="43">
        <f>ROUND((R316*V316*F316*O316/1000000),4)</f>
        <v>3.1099999999999999E-2</v>
      </c>
      <c r="AC316" s="44" t="s">
        <v>111</v>
      </c>
      <c r="AD316" s="45" t="s">
        <v>95</v>
      </c>
      <c r="AE316" s="30">
        <f>ROUND((((X316*E316)/1800)*0.8),4)</f>
        <v>1.8700000000000001E-2</v>
      </c>
      <c r="AF316" s="30">
        <f>ROUND(((Z316+AA316+AB316)*0.8),4)</f>
        <v>4.9799999999999997E-2</v>
      </c>
      <c r="AG316" s="50"/>
      <c r="AH316" s="50"/>
    </row>
    <row r="317" spans="1:36" ht="12.95" customHeight="1" x14ac:dyDescent="0.25">
      <c r="A317" s="36"/>
      <c r="B317" s="35" t="s">
        <v>199</v>
      </c>
      <c r="C317" s="36"/>
      <c r="D317" s="36"/>
      <c r="E317" s="36"/>
      <c r="F317" s="36"/>
      <c r="G317" s="36"/>
      <c r="H317" s="36"/>
      <c r="I317" s="36"/>
      <c r="J317" s="36"/>
      <c r="K317" s="36"/>
      <c r="L317" s="37"/>
      <c r="M317" s="37"/>
      <c r="N317" s="36"/>
      <c r="O317" s="36"/>
      <c r="P317" s="36"/>
      <c r="Q317" s="36"/>
      <c r="R317" s="36"/>
      <c r="S317" s="46"/>
      <c r="T317" s="47"/>
      <c r="U317" s="47"/>
      <c r="V317" s="47"/>
      <c r="W317" s="47"/>
      <c r="X317" s="47"/>
      <c r="Y317" s="47"/>
      <c r="Z317" s="47"/>
      <c r="AA317" s="47"/>
      <c r="AB317" s="47"/>
      <c r="AC317" s="44" t="s">
        <v>112</v>
      </c>
      <c r="AD317" s="45" t="s">
        <v>113</v>
      </c>
      <c r="AE317" s="30">
        <f>ROUND((((X316*E316)/1800)*0.13),4)</f>
        <v>3.0000000000000001E-3</v>
      </c>
      <c r="AF317" s="30">
        <f>ROUND(((Z316+AA316+AB316)*0.13),4)</f>
        <v>8.0999999999999996E-3</v>
      </c>
      <c r="AG317" s="50"/>
      <c r="AH317" s="50"/>
    </row>
    <row r="318" spans="1:36" ht="12.95" customHeight="1" x14ac:dyDescent="0.25">
      <c r="A318" s="36"/>
      <c r="C318" s="39"/>
      <c r="D318" s="39"/>
      <c r="E318" s="36"/>
      <c r="F318" s="36"/>
      <c r="G318" s="36"/>
      <c r="H318" s="36"/>
      <c r="I318" s="36"/>
      <c r="J318" s="36"/>
      <c r="K318" s="36"/>
      <c r="L318" s="40">
        <v>0.12</v>
      </c>
      <c r="M318" s="40">
        <v>0.15</v>
      </c>
      <c r="N318" s="36"/>
      <c r="O318" s="36"/>
      <c r="P318" s="36"/>
      <c r="Q318" s="36"/>
      <c r="R318" s="36"/>
      <c r="S318" s="48">
        <v>5.8000000000000003E-2</v>
      </c>
      <c r="T318" s="33">
        <f>ROUND((L318*I316+1.3*L318*K316+S318*H316),4)</f>
        <v>43.89</v>
      </c>
      <c r="U318" s="33">
        <f>ROUND((M318*0.9*I316+1.3*M318*0.9*K316+S318*H316),4)</f>
        <v>48.941299999999998</v>
      </c>
      <c r="V318" s="33">
        <f>ROUND((M318*I316+1.3*M318*K316+S318*H316),4)</f>
        <v>53.9925</v>
      </c>
      <c r="W318" s="33">
        <f>ROUND((L318*J316+1.3*L318*N316+S318*G316),4)</f>
        <v>3.5880000000000001</v>
      </c>
      <c r="X318" s="33">
        <f>ROUND((M318*0.9*J316+1.3*M318*0.9*N316+S318*G316),4)</f>
        <v>3.9929999999999999</v>
      </c>
      <c r="Y318" s="33">
        <f>ROUND((M318*J316+1.3*M318*N316+S318*G316),4)</f>
        <v>4.3979999999999997</v>
      </c>
      <c r="Z318" s="43">
        <f>ROUND((P316*T318*F316*O316/1000000),4)</f>
        <v>0</v>
      </c>
      <c r="AA318" s="43">
        <f>ROUND((Q316*U318*F316*O316/1000000),4)</f>
        <v>2.8999999999999998E-3</v>
      </c>
      <c r="AB318" s="43">
        <f>ROUND((R316*V318*F316*O316/1000000),4)</f>
        <v>3.2000000000000002E-3</v>
      </c>
      <c r="AC318" s="44" t="s">
        <v>167</v>
      </c>
      <c r="AD318" s="45" t="s">
        <v>115</v>
      </c>
      <c r="AE318" s="30">
        <f>ROUND((((X318*E316)/1800)),4)</f>
        <v>2.2000000000000001E-3</v>
      </c>
      <c r="AF318" s="30">
        <f>ROUND(((Z318+AA318+AB318)),5)</f>
        <v>6.1000000000000004E-3</v>
      </c>
      <c r="AG318" s="50"/>
      <c r="AH318" s="50"/>
    </row>
    <row r="319" spans="1:36" ht="12.95" customHeight="1" x14ac:dyDescent="0.25">
      <c r="A319" s="36"/>
      <c r="C319" s="36"/>
      <c r="D319" s="36"/>
      <c r="E319" s="36"/>
      <c r="F319" s="36"/>
      <c r="G319" s="36"/>
      <c r="H319" s="36"/>
      <c r="I319" s="36"/>
      <c r="J319" s="36"/>
      <c r="K319" s="36"/>
      <c r="L319" s="40">
        <v>0.26</v>
      </c>
      <c r="M319" s="40">
        <v>0.31</v>
      </c>
      <c r="N319" s="36"/>
      <c r="O319" s="36"/>
      <c r="P319" s="36"/>
      <c r="Q319" s="36"/>
      <c r="R319" s="36"/>
      <c r="S319" s="49">
        <v>0.18</v>
      </c>
      <c r="T319" s="33">
        <f>ROUND((L319*I316+1.3*L319*K316+S319*H316),4)</f>
        <v>98.355000000000004</v>
      </c>
      <c r="U319" s="33">
        <f>ROUND((M319*0.9*I316+1.3*M319*0.9*K316+S319*H316),4)</f>
        <v>104.7533</v>
      </c>
      <c r="V319" s="33">
        <f>ROUND((M319*I316+1.3*M319*K316+S319*H316),4)</f>
        <v>115.1925</v>
      </c>
      <c r="W319" s="33">
        <f>ROUND((L319*J316+1.3*L319*N316+S319*G316),4)</f>
        <v>8.1</v>
      </c>
      <c r="X319" s="33">
        <f>ROUND((M319*0.9*J316+1.3*M319*0.9*N316+S319*G316),4)</f>
        <v>8.6129999999999995</v>
      </c>
      <c r="Y319" s="33">
        <f>ROUND((M319*J316+1.3*N316+S319*G316),4)</f>
        <v>18.420000000000002</v>
      </c>
      <c r="Z319" s="43">
        <f>ROUND((P316*T319*F316*O316/1000000),4)</f>
        <v>0</v>
      </c>
      <c r="AA319" s="43">
        <f>ROUND((Q316*U319*F316*O316/1000000),4)</f>
        <v>6.3E-3</v>
      </c>
      <c r="AB319" s="43">
        <f>ROUND((R316*V319*F316*O316/1000000),4)</f>
        <v>6.8999999999999999E-3</v>
      </c>
      <c r="AC319" s="44" t="s">
        <v>168</v>
      </c>
      <c r="AD319" s="45" t="s">
        <v>169</v>
      </c>
      <c r="AE319" s="30">
        <f>ROUND((((X319*E316)/1800)),4)</f>
        <v>4.7999999999999996E-3</v>
      </c>
      <c r="AF319" s="30">
        <f>ROUND(((Z319+AA319+AB319)),4)</f>
        <v>1.32E-2</v>
      </c>
      <c r="AG319" s="50"/>
      <c r="AH319" s="50"/>
    </row>
    <row r="320" spans="1:36" ht="12.95" customHeight="1" x14ac:dyDescent="0.25">
      <c r="A320" s="36"/>
      <c r="B320" s="35"/>
      <c r="C320" s="36"/>
      <c r="D320" s="36"/>
      <c r="E320" s="36"/>
      <c r="F320" s="36"/>
      <c r="G320" s="36"/>
      <c r="H320" s="36"/>
      <c r="I320" s="36"/>
      <c r="J320" s="36"/>
      <c r="K320" s="36"/>
      <c r="L320" s="40">
        <v>0.17</v>
      </c>
      <c r="M320" s="40">
        <v>0.25</v>
      </c>
      <c r="N320" s="36"/>
      <c r="O320" s="36"/>
      <c r="P320" s="36"/>
      <c r="Q320" s="36"/>
      <c r="R320" s="36"/>
      <c r="S320" s="49">
        <v>0.04</v>
      </c>
      <c r="T320" s="33">
        <f>ROUND((L320*I316+1.3*L320*K316+S320*H316),4)</f>
        <v>59.647500000000001</v>
      </c>
      <c r="U320" s="33">
        <f>ROUND((M320*0.9*I316+1.3*M320*0.9*K316+S320*H316),4)</f>
        <v>78.168800000000005</v>
      </c>
      <c r="V320" s="33">
        <f>ROUND((M320*I316+1.3*M320*K316+S320*H316),4)</f>
        <v>86.587500000000006</v>
      </c>
      <c r="W320" s="33">
        <f>ROUND((L320*J316+1.3*L320*N316+S320*G316),4)</f>
        <v>4.83</v>
      </c>
      <c r="X320" s="33">
        <f>ROUND((M320*0.9*J316+1.3*M320*0.9*N316+S320*G316),4)</f>
        <v>6.3150000000000004</v>
      </c>
      <c r="Y320" s="33">
        <f>ROUND((M320*J316+1.3*M320*N316+S320*G316),4)</f>
        <v>6.99</v>
      </c>
      <c r="Z320" s="43">
        <f>ROUND((P316*T320*F316*O316/1000000),4)</f>
        <v>0</v>
      </c>
      <c r="AA320" s="43">
        <f>ROUND((Q316*U320*F316*O316/1000000),4)</f>
        <v>4.7000000000000002E-3</v>
      </c>
      <c r="AB320" s="43">
        <f>ROUND((R316*V320*F316*O316/1000000),4)</f>
        <v>5.1999999999999998E-3</v>
      </c>
      <c r="AC320" s="44" t="s">
        <v>170</v>
      </c>
      <c r="AD320" s="45" t="s">
        <v>119</v>
      </c>
      <c r="AE320" s="30">
        <f>ROUND((((X320*E316)/1800)),4)</f>
        <v>3.5000000000000001E-3</v>
      </c>
      <c r="AF320" s="30">
        <f>ROUND(((Z320+AA320+AB320)),4)</f>
        <v>9.9000000000000008E-3</v>
      </c>
      <c r="AG320" s="50"/>
      <c r="AH320" s="50"/>
    </row>
    <row r="321" spans="1:36" ht="12.95" customHeight="1" x14ac:dyDescent="0.25">
      <c r="A321" s="37"/>
      <c r="B321" s="41"/>
      <c r="C321" s="37"/>
      <c r="D321" s="37"/>
      <c r="E321" s="37"/>
      <c r="F321" s="37"/>
      <c r="G321" s="37"/>
      <c r="H321" s="37"/>
      <c r="I321" s="37"/>
      <c r="J321" s="37"/>
      <c r="K321" s="37"/>
      <c r="L321" s="40">
        <v>0.77</v>
      </c>
      <c r="M321" s="40">
        <v>0.94</v>
      </c>
      <c r="N321" s="37"/>
      <c r="O321" s="37"/>
      <c r="P321" s="37"/>
      <c r="Q321" s="37"/>
      <c r="R321" s="37"/>
      <c r="S321" s="49">
        <v>1.44</v>
      </c>
      <c r="T321" s="33">
        <f>ROUND((L321*I316+1.3*L321*K316+S321*H316),4)</f>
        <v>345.69749999999999</v>
      </c>
      <c r="U321" s="33">
        <f>ROUND((M321*0.9*I316+1.3*M321*0.9*K316+S321*H316),4)</f>
        <v>371.29050000000001</v>
      </c>
      <c r="V321" s="33">
        <f>ROUND((M321*I316+1.3*M321*K316+S321*H316),4)</f>
        <v>402.94499999999999</v>
      </c>
      <c r="W321" s="33">
        <f>ROUND((L321*J316+1.3*L321*N316+S321*G316),4)</f>
        <v>29.43</v>
      </c>
      <c r="X321" s="33">
        <f>ROUND((M321*0.9*J316+1.3*M321*0.9*N316+S321*G316),4)</f>
        <v>31.481999999999999</v>
      </c>
      <c r="Y321" s="33">
        <f>ROUND((M321*J316+1.3*M321*N316+S321*G316),4)</f>
        <v>34.020000000000003</v>
      </c>
      <c r="Z321" s="43">
        <f>ROUND((P316*T321*F316*O316/1000000),4)</f>
        <v>0</v>
      </c>
      <c r="AA321" s="43">
        <f>ROUND((Q316*U321*F316*O316/1000000),4)</f>
        <v>2.23E-2</v>
      </c>
      <c r="AB321" s="43">
        <f>ROUND((R316*V321*F316*O316/1000000),4)</f>
        <v>2.4199999999999999E-2</v>
      </c>
      <c r="AC321" s="44" t="s">
        <v>171</v>
      </c>
      <c r="AD321" s="45" t="s">
        <v>104</v>
      </c>
      <c r="AE321" s="30">
        <f>ROUND((((X321*E316)/1800)),4)</f>
        <v>1.7500000000000002E-2</v>
      </c>
      <c r="AF321" s="30">
        <f>ROUND(((Z321+AA321+AB321)),4)</f>
        <v>4.65E-2</v>
      </c>
      <c r="AG321" s="50"/>
      <c r="AH321" s="50"/>
    </row>
    <row r="322" spans="1:36" ht="12.95" customHeight="1" x14ac:dyDescent="0.25">
      <c r="A322" s="528" t="s">
        <v>343</v>
      </c>
      <c r="B322" s="529"/>
      <c r="C322" s="529"/>
      <c r="D322" s="529"/>
      <c r="E322" s="529"/>
      <c r="F322" s="529"/>
      <c r="G322" s="529"/>
      <c r="H322" s="529"/>
      <c r="I322" s="529"/>
      <c r="J322" s="529"/>
      <c r="K322" s="529"/>
      <c r="L322" s="529"/>
      <c r="M322" s="529"/>
      <c r="N322" s="529"/>
      <c r="O322" s="529"/>
      <c r="P322" s="529"/>
      <c r="Q322" s="529"/>
      <c r="R322" s="529"/>
      <c r="S322" s="530"/>
      <c r="T322" s="28">
        <f>ROUND((L322*I322+1.3*L322*K322+S322*H322),4)</f>
        <v>0</v>
      </c>
      <c r="U322" s="28">
        <f>ROUND((M322*I322+1.3*M322*K322+S322*H322),4)</f>
        <v>0</v>
      </c>
      <c r="V322" s="28">
        <f>ROUND((M322*I322+1.3*M322*K322+S322*H322),4)</f>
        <v>0</v>
      </c>
      <c r="W322" s="28">
        <f>ROUND((L322*J322+1.3*L322*N322+S322*G322),4)</f>
        <v>0</v>
      </c>
      <c r="X322" s="28">
        <f>ROUND((M322*J322+1.3*M322*N322+S322*G322),4)</f>
        <v>0</v>
      </c>
      <c r="Y322" s="28">
        <f>ROUND((M322*J322+1.3*M322*N322+S322*G322),4)</f>
        <v>0</v>
      </c>
      <c r="Z322" s="57">
        <f>ROUND((P322*T322*F322*O322/1000000),4)</f>
        <v>0</v>
      </c>
      <c r="AA322" s="57">
        <f>ROUND((Q322*U322*F322*O322/1000000),4)</f>
        <v>0</v>
      </c>
      <c r="AB322" s="57">
        <f>ROUND((R322*V322*F322*O322/1000000),4)</f>
        <v>0</v>
      </c>
      <c r="AC322" s="58" t="s">
        <v>111</v>
      </c>
      <c r="AD322" s="59" t="s">
        <v>95</v>
      </c>
      <c r="AE322" s="60">
        <f>MAX(AE256,AE262,AE274,AE280,AE286,AE268,AE292,AE298,AE304,AE310,AE316)</f>
        <v>0.12720000000000001</v>
      </c>
      <c r="AF322" s="60">
        <f>AF256+AF262+AF274+AF280+AF286+AF292+AF298+AF304+AF310+AF316+AF268</f>
        <v>1.2105000000000001</v>
      </c>
      <c r="AG322" s="139"/>
      <c r="AH322" s="139"/>
      <c r="AI322" s="1"/>
      <c r="AJ322" s="1"/>
    </row>
    <row r="323" spans="1:36" ht="12.95" customHeight="1" x14ac:dyDescent="0.25">
      <c r="A323" s="531"/>
      <c r="B323" s="532"/>
      <c r="C323" s="532"/>
      <c r="D323" s="532"/>
      <c r="E323" s="532"/>
      <c r="F323" s="532"/>
      <c r="G323" s="532"/>
      <c r="H323" s="532"/>
      <c r="I323" s="532"/>
      <c r="J323" s="532"/>
      <c r="K323" s="532"/>
      <c r="L323" s="532"/>
      <c r="M323" s="532"/>
      <c r="N323" s="532"/>
      <c r="O323" s="532"/>
      <c r="P323" s="532"/>
      <c r="Q323" s="532"/>
      <c r="R323" s="532"/>
      <c r="S323" s="533"/>
      <c r="T323" s="29"/>
      <c r="U323" s="29"/>
      <c r="V323" s="29"/>
      <c r="W323" s="29"/>
      <c r="X323" s="29"/>
      <c r="Y323" s="29"/>
      <c r="Z323" s="29"/>
      <c r="AA323" s="29"/>
      <c r="AB323" s="29"/>
      <c r="AC323" s="58" t="s">
        <v>112</v>
      </c>
      <c r="AD323" s="59" t="s">
        <v>113</v>
      </c>
      <c r="AE323" s="60">
        <f t="shared" ref="AE323:AE327" si="4">MAX(AE257,AE263,AE275,AE281,AE287,AE269,AE293,AE299,AE305,AE311,AE317)</f>
        <v>2.07E-2</v>
      </c>
      <c r="AF323" s="60">
        <f t="shared" ref="AF323:AF327" si="5">AF257+AF263+AF275+AF281+AF287+AF293+AF299+AF305+AF311+AF317+AF269</f>
        <v>0.19670000000000001</v>
      </c>
      <c r="AG323" s="139"/>
      <c r="AH323" s="139"/>
      <c r="AI323" s="1"/>
      <c r="AJ323" s="1"/>
    </row>
    <row r="324" spans="1:36" ht="12.95" customHeight="1" x14ac:dyDescent="0.25">
      <c r="A324" s="531"/>
      <c r="B324" s="532"/>
      <c r="C324" s="532"/>
      <c r="D324" s="532"/>
      <c r="E324" s="532"/>
      <c r="F324" s="532"/>
      <c r="G324" s="532"/>
      <c r="H324" s="532"/>
      <c r="I324" s="532"/>
      <c r="J324" s="532"/>
      <c r="K324" s="532"/>
      <c r="L324" s="532"/>
      <c r="M324" s="532"/>
      <c r="N324" s="532"/>
      <c r="O324" s="532"/>
      <c r="P324" s="532"/>
      <c r="Q324" s="532"/>
      <c r="R324" s="532"/>
      <c r="S324" s="533"/>
      <c r="T324" s="28">
        <f>ROUND((L324*I322+1.3*L324*K322+S324*H322),4)</f>
        <v>0</v>
      </c>
      <c r="U324" s="28">
        <f>ROUND((M324*0.9*I322+1.3*M324*0.9*K322+S324*H322),4)</f>
        <v>0</v>
      </c>
      <c r="V324" s="28">
        <f>ROUND((M324*I322+1.3*M324*K322+S324*H322),4)</f>
        <v>0</v>
      </c>
      <c r="W324" s="28">
        <f>ROUND((L324*J322+1.3*L324*N322+S324*G322),4)</f>
        <v>0</v>
      </c>
      <c r="X324" s="28">
        <f>ROUND((M324*0.9*J322+1.3*M324*0.9*N322+S324*G322),4)</f>
        <v>0</v>
      </c>
      <c r="Y324" s="28">
        <f>ROUND((M324*J322+1.3*M324*N322+S324*G322),4)</f>
        <v>0</v>
      </c>
      <c r="Z324" s="57">
        <f>ROUND((P322*T324*F322*O322/1000000),4)</f>
        <v>0</v>
      </c>
      <c r="AA324" s="57">
        <f>ROUND((Q322*U324*F322*O322/1000000),4)</f>
        <v>0</v>
      </c>
      <c r="AB324" s="57">
        <f>ROUND((R322*V324*F322*O322/1000000),4)</f>
        <v>0</v>
      </c>
      <c r="AC324" s="58" t="s">
        <v>167</v>
      </c>
      <c r="AD324" s="59" t="s">
        <v>115</v>
      </c>
      <c r="AE324" s="60">
        <f t="shared" si="4"/>
        <v>1.4500000000000001E-2</v>
      </c>
      <c r="AF324" s="60">
        <f t="shared" si="5"/>
        <v>0.17050000000000001</v>
      </c>
      <c r="AG324" s="139"/>
      <c r="AH324" s="139"/>
      <c r="AI324" s="1"/>
      <c r="AJ324" s="1"/>
    </row>
    <row r="325" spans="1:36" ht="12.95" customHeight="1" x14ac:dyDescent="0.25">
      <c r="A325" s="531"/>
      <c r="B325" s="532"/>
      <c r="C325" s="532"/>
      <c r="D325" s="532"/>
      <c r="E325" s="532"/>
      <c r="F325" s="532"/>
      <c r="G325" s="532"/>
      <c r="H325" s="532"/>
      <c r="I325" s="532"/>
      <c r="J325" s="532"/>
      <c r="K325" s="532"/>
      <c r="L325" s="532"/>
      <c r="M325" s="532"/>
      <c r="N325" s="532"/>
      <c r="O325" s="532"/>
      <c r="P325" s="532"/>
      <c r="Q325" s="532"/>
      <c r="R325" s="532"/>
      <c r="S325" s="533"/>
      <c r="T325" s="28">
        <f>ROUND((L325*I322+1.3*L325*K322+S325*H322),4)</f>
        <v>0</v>
      </c>
      <c r="U325" s="28">
        <f>ROUND((M325*0.9*I322+1.3*M325*0.9*K322+S325*H322),4)</f>
        <v>0</v>
      </c>
      <c r="V325" s="28">
        <f>ROUND((M325*I322+1.3*M325*K322+S325*H322),4)</f>
        <v>0</v>
      </c>
      <c r="W325" s="28">
        <f>ROUND((L325*J322+1.3*L325*N322+S325*G322),4)</f>
        <v>0</v>
      </c>
      <c r="X325" s="28">
        <f>ROUND((M325*0.9*J322+1.3*M325*0.9*N322+S325*G322),4)</f>
        <v>0</v>
      </c>
      <c r="Y325" s="28">
        <f>ROUND((M325*J322+1.3*N322+S325*G322),4)</f>
        <v>0</v>
      </c>
      <c r="Z325" s="57">
        <f>ROUND((P322*T325*F322*O322/1000000),4)</f>
        <v>0</v>
      </c>
      <c r="AA325" s="57">
        <f>ROUND((Q322*U325*F322*O322/1000000),4)</f>
        <v>0</v>
      </c>
      <c r="AB325" s="57">
        <f>ROUND((R322*V325*F322*O322/1000000),4)</f>
        <v>0</v>
      </c>
      <c r="AC325" s="58" t="s">
        <v>168</v>
      </c>
      <c r="AD325" s="59" t="s">
        <v>169</v>
      </c>
      <c r="AE325" s="60">
        <f t="shared" si="4"/>
        <v>3.32E-2</v>
      </c>
      <c r="AF325" s="60">
        <f t="shared" si="5"/>
        <v>0.32519999999999999</v>
      </c>
      <c r="AG325" s="139"/>
      <c r="AH325" s="139"/>
      <c r="AI325" s="1"/>
      <c r="AJ325" s="1"/>
    </row>
    <row r="326" spans="1:36" ht="12.95" customHeight="1" x14ac:dyDescent="0.25">
      <c r="A326" s="531"/>
      <c r="B326" s="532"/>
      <c r="C326" s="532"/>
      <c r="D326" s="532"/>
      <c r="E326" s="532"/>
      <c r="F326" s="532"/>
      <c r="G326" s="532"/>
      <c r="H326" s="532"/>
      <c r="I326" s="532"/>
      <c r="J326" s="532"/>
      <c r="K326" s="532"/>
      <c r="L326" s="532"/>
      <c r="M326" s="532"/>
      <c r="N326" s="532"/>
      <c r="O326" s="532"/>
      <c r="P326" s="532"/>
      <c r="Q326" s="532"/>
      <c r="R326" s="532"/>
      <c r="S326" s="533"/>
      <c r="T326" s="28">
        <f>ROUND((L326*I322+1.3*L326*K322+S326*H322),4)</f>
        <v>0</v>
      </c>
      <c r="U326" s="28">
        <f>ROUND((M326*0.9*I322+1.3*M326*0.9*K322+S326*H322),4)</f>
        <v>0</v>
      </c>
      <c r="V326" s="28">
        <f>ROUND((M326*I322+1.3*M326*K322+S326*H322),4)</f>
        <v>0</v>
      </c>
      <c r="W326" s="28">
        <f>ROUND((L326*J322+1.3*L326*N322+S326*G322),4)</f>
        <v>0</v>
      </c>
      <c r="X326" s="28">
        <f>ROUND((M326*0.9*J322+1.3*M326*0.9*N322+S326*G322),4)</f>
        <v>0</v>
      </c>
      <c r="Y326" s="28">
        <f>ROUND((M326*J322+1.3*M326*N322+S326*G322),4)</f>
        <v>0</v>
      </c>
      <c r="Z326" s="57">
        <f>ROUND((P322*T326*F322*O322/1000000),4)</f>
        <v>0</v>
      </c>
      <c r="AA326" s="57">
        <f>ROUND((Q322*U326*F322*O322/1000000),4)</f>
        <v>0</v>
      </c>
      <c r="AB326" s="57">
        <f>ROUND((R322*V326*F322*O322/1000000),4)</f>
        <v>0</v>
      </c>
      <c r="AC326" s="58" t="s">
        <v>170</v>
      </c>
      <c r="AD326" s="59" t="s">
        <v>119</v>
      </c>
      <c r="AE326" s="60">
        <f t="shared" si="4"/>
        <v>2.3800000000000002E-2</v>
      </c>
      <c r="AF326" s="60">
        <f t="shared" si="5"/>
        <v>0.23849999999999999</v>
      </c>
      <c r="AG326" s="139"/>
      <c r="AH326" s="139"/>
      <c r="AI326" s="1"/>
      <c r="AJ326" s="1"/>
    </row>
    <row r="327" spans="1:36" ht="12.95" customHeight="1" x14ac:dyDescent="0.25">
      <c r="A327" s="534"/>
      <c r="B327" s="535"/>
      <c r="C327" s="535"/>
      <c r="D327" s="535"/>
      <c r="E327" s="535"/>
      <c r="F327" s="535"/>
      <c r="G327" s="535"/>
      <c r="H327" s="535"/>
      <c r="I327" s="535"/>
      <c r="J327" s="535"/>
      <c r="K327" s="535"/>
      <c r="L327" s="535"/>
      <c r="M327" s="535"/>
      <c r="N327" s="535"/>
      <c r="O327" s="535"/>
      <c r="P327" s="535"/>
      <c r="Q327" s="535"/>
      <c r="R327" s="535"/>
      <c r="S327" s="536"/>
      <c r="T327" s="28">
        <f>ROUND((L327*I322+1.3*L327*K322+S327*H322),4)</f>
        <v>0</v>
      </c>
      <c r="U327" s="28">
        <f>ROUND((M327*0.9*I322+1.3*M327*0.9*K322+S327*H322),4)</f>
        <v>0</v>
      </c>
      <c r="V327" s="28">
        <f>ROUND((M327*I322+1.3*M327*K322+S327*H322),4)</f>
        <v>0</v>
      </c>
      <c r="W327" s="28">
        <f>ROUND((L327*J322+1.3*L327*N322+S327*G322),4)</f>
        <v>0</v>
      </c>
      <c r="X327" s="28">
        <f>ROUND((M327*0.9*J322+1.3*M327*0.9*N322+S327*G322),4)</f>
        <v>0</v>
      </c>
      <c r="Y327" s="28">
        <f>ROUND((M327*J322+1.3*M327*N322+S327*G322),4)</f>
        <v>0</v>
      </c>
      <c r="Z327" s="57">
        <f>ROUND((P322*T327*F322*O322/1000000),4)</f>
        <v>0</v>
      </c>
      <c r="AA327" s="57">
        <f>ROUND((Q322*U327*F322*O322/1000000),4)</f>
        <v>0</v>
      </c>
      <c r="AB327" s="57">
        <f>ROUND((R322*V327*F322*O322/1000000),4)</f>
        <v>0</v>
      </c>
      <c r="AC327" s="58" t="s">
        <v>171</v>
      </c>
      <c r="AD327" s="59" t="s">
        <v>104</v>
      </c>
      <c r="AE327" s="60">
        <f t="shared" si="4"/>
        <v>0.12039999999999999</v>
      </c>
      <c r="AF327" s="60">
        <f t="shared" si="5"/>
        <v>1.1301000000000001</v>
      </c>
      <c r="AG327" s="133">
        <f>SUM(AE322:AE327)</f>
        <v>0.33980000000000005</v>
      </c>
      <c r="AH327" s="133">
        <f>SUM(AF322:AF327)</f>
        <v>3.2715000000000005</v>
      </c>
      <c r="AI327" s="1">
        <v>2028</v>
      </c>
      <c r="AJ327" s="1"/>
    </row>
  </sheetData>
  <mergeCells count="57">
    <mergeCell ref="AD44:AD46"/>
    <mergeCell ref="AE44:AE46"/>
    <mergeCell ref="AF44:AF46"/>
    <mergeCell ref="S44:S46"/>
    <mergeCell ref="T44:V45"/>
    <mergeCell ref="W44:Y45"/>
    <mergeCell ref="Z44:AB45"/>
    <mergeCell ref="AC44:AC46"/>
    <mergeCell ref="K44:K46"/>
    <mergeCell ref="L44:M45"/>
    <mergeCell ref="N44:N46"/>
    <mergeCell ref="O44:O46"/>
    <mergeCell ref="P44:R45"/>
    <mergeCell ref="A322:S327"/>
    <mergeCell ref="A146:S151"/>
    <mergeCell ref="A1:AE1"/>
    <mergeCell ref="A3:AE3"/>
    <mergeCell ref="A4:AE4"/>
    <mergeCell ref="A43:AF43"/>
    <mergeCell ref="A44:A46"/>
    <mergeCell ref="B44:B46"/>
    <mergeCell ref="C44:C46"/>
    <mergeCell ref="D44:D46"/>
    <mergeCell ref="E44:E46"/>
    <mergeCell ref="F44:F46"/>
    <mergeCell ref="G44:G46"/>
    <mergeCell ref="H44:H46"/>
    <mergeCell ref="I44:I46"/>
    <mergeCell ref="J44:J46"/>
    <mergeCell ref="A48:AF48"/>
    <mergeCell ref="A49:AF49"/>
    <mergeCell ref="A152:AF152"/>
    <mergeCell ref="A249:S254"/>
    <mergeCell ref="A255:AF255"/>
    <mergeCell ref="A6:AE6"/>
    <mergeCell ref="A7:AE7"/>
    <mergeCell ref="A9:AE9"/>
    <mergeCell ref="A10:AE10"/>
    <mergeCell ref="A11:AE11"/>
    <mergeCell ref="A12:AE12"/>
    <mergeCell ref="A13:AE13"/>
    <mergeCell ref="A15:AE15"/>
    <mergeCell ref="A17:AE17"/>
    <mergeCell ref="A19:AE19"/>
    <mergeCell ref="A20:AE20"/>
    <mergeCell ref="A22:AE22"/>
    <mergeCell ref="A24:AE24"/>
    <mergeCell ref="A26:AE26"/>
    <mergeCell ref="A27:AE27"/>
    <mergeCell ref="A37:AE37"/>
    <mergeCell ref="A38:AE38"/>
    <mergeCell ref="A40:AF40"/>
    <mergeCell ref="A28:AE28"/>
    <mergeCell ref="A30:AE30"/>
    <mergeCell ref="A32:AE32"/>
    <mergeCell ref="A34:AF34"/>
    <mergeCell ref="A35:AE35"/>
  </mergeCells>
  <pageMargins left="0.31496062992125984" right="0.31496062992125984" top="0.78740157480314965" bottom="0.39370078740157483" header="0.31496062992125984" footer="0.19685039370078741"/>
  <pageSetup paperSize="9" firstPageNumber="256" orientation="landscape" useFirstPageNumber="1" horizontalDpi="1200" verticalDpi="1200" r:id="rId1"/>
  <headerFoot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K100"/>
  <sheetViews>
    <sheetView topLeftCell="A76" workbookViewId="0">
      <selection activeCell="I47" sqref="I47"/>
    </sheetView>
  </sheetViews>
  <sheetFormatPr defaultRowHeight="15.75" x14ac:dyDescent="0.25"/>
  <cols>
    <col min="1" max="1" width="6.28515625" style="230" customWidth="1"/>
    <col min="2" max="2" width="13.85546875" style="231" customWidth="1"/>
    <col min="3" max="3" width="7.28515625" style="230" customWidth="1"/>
    <col min="4" max="4" width="43.42578125" style="238" customWidth="1"/>
    <col min="5" max="5" width="9.140625" style="239"/>
    <col min="6" max="6" width="14.28515625" style="239" customWidth="1"/>
    <col min="7" max="7" width="13.5703125" style="239" customWidth="1"/>
    <col min="8" max="8" width="11.42578125" style="241" customWidth="1"/>
    <col min="9" max="9" width="12.7109375" style="241" customWidth="1"/>
    <col min="10" max="10" width="12.7109375" style="216" customWidth="1"/>
    <col min="11" max="11" width="12.85546875" style="216" customWidth="1"/>
    <col min="12" max="16384" width="9.140625" style="230"/>
  </cols>
  <sheetData>
    <row r="1" spans="2:11" s="141" customFormat="1" ht="20.25" x14ac:dyDescent="0.3">
      <c r="B1" s="140" t="s">
        <v>326</v>
      </c>
      <c r="D1" s="142" t="s">
        <v>338</v>
      </c>
      <c r="E1" s="143"/>
      <c r="F1" s="143"/>
      <c r="G1" s="143"/>
      <c r="H1" s="144"/>
      <c r="I1" s="144"/>
      <c r="J1" s="143"/>
      <c r="K1" s="143"/>
    </row>
    <row r="2" spans="2:11" s="227" customFormat="1" ht="19.5" customHeight="1" thickBot="1" x14ac:dyDescent="0.3">
      <c r="B2" s="226"/>
      <c r="D2" s="228"/>
      <c r="E2" s="229"/>
      <c r="F2" s="515" t="s">
        <v>17</v>
      </c>
      <c r="G2" s="515"/>
      <c r="H2" s="571" t="s">
        <v>21</v>
      </c>
      <c r="I2" s="571"/>
      <c r="J2" s="515" t="s">
        <v>22</v>
      </c>
      <c r="K2" s="515"/>
    </row>
    <row r="3" spans="2:11" s="226" customFormat="1" ht="15.75" customHeight="1" x14ac:dyDescent="0.25">
      <c r="C3" s="148" t="s">
        <v>327</v>
      </c>
      <c r="D3" s="149" t="s">
        <v>328</v>
      </c>
      <c r="E3" s="150" t="s">
        <v>329</v>
      </c>
      <c r="F3" s="151" t="s">
        <v>70</v>
      </c>
      <c r="G3" s="152" t="s">
        <v>69</v>
      </c>
      <c r="H3" s="153" t="s">
        <v>70</v>
      </c>
      <c r="I3" s="154" t="s">
        <v>69</v>
      </c>
      <c r="J3" s="151" t="s">
        <v>70</v>
      </c>
      <c r="K3" s="152" t="s">
        <v>69</v>
      </c>
    </row>
    <row r="4" spans="2:11" ht="23.25" customHeight="1" x14ac:dyDescent="0.25">
      <c r="B4" s="567" t="s">
        <v>335</v>
      </c>
      <c r="C4" s="155">
        <v>9001</v>
      </c>
      <c r="D4" s="156" t="str">
        <f>'3.1снятие ПРС бульдозер'!M33</f>
        <v>Пыль неорг.с сод-м SiO2 70-20%</v>
      </c>
      <c r="E4" s="157">
        <f>'3.1снятие ПРС бульдозер'!N33</f>
        <v>2908</v>
      </c>
      <c r="F4" s="242">
        <f>'3.1снятие ПРС бульдозер'!O33+'3.2погрузка экскаватора'!O36+'3.3земляные работы'!Q44</f>
        <v>0.32169999999999993</v>
      </c>
      <c r="G4" s="158">
        <f>'3.1снятие ПРС бульдозер'!P33+'3.2погрузка экскаватора'!P36+'3.3земляные работы'!R44</f>
        <v>0.25389999999999996</v>
      </c>
      <c r="H4" s="333">
        <f>'3.1снятие ПРС бульдозер'!O38+'3.2погрузка экскаватора'!O41+'3.3земляные работы'!Q56</f>
        <v>0.33629999999999993</v>
      </c>
      <c r="I4" s="334">
        <f>'3.1снятие ПРС бульдозер'!P38+'3.2погрузка экскаватора'!P41+'3.3земляные работы'!R56</f>
        <v>0.76359999999999995</v>
      </c>
      <c r="J4" s="242">
        <f>'3.1снятие ПРС бульдозер'!O42+'3.2погрузка экскаватора'!O44+'3.3земляные работы'!Q68</f>
        <v>0.24459999999999998</v>
      </c>
      <c r="K4" s="332">
        <f>'3.1снятие ПРС бульдозер'!P42+'3.2погрузка экскаватора'!P44+'3.3земляные работы'!R68</f>
        <v>0.25959999999999994</v>
      </c>
    </row>
    <row r="5" spans="2:11" ht="23.25" customHeight="1" x14ac:dyDescent="0.25">
      <c r="B5" s="568"/>
      <c r="C5" s="155">
        <v>9002</v>
      </c>
      <c r="D5" s="156" t="str">
        <f>'3.4транспортирование'!R41</f>
        <v>Пыль неорг. с сод-м SiO2 70-20%</v>
      </c>
      <c r="E5" s="157">
        <f>'3.4транспортирование'!S41</f>
        <v>2908</v>
      </c>
      <c r="F5" s="242">
        <f>'3.4транспортирование'!T41</f>
        <v>2.8999999999999998E-3</v>
      </c>
      <c r="G5" s="158">
        <f>'3.4транспортирование'!U41</f>
        <v>6.8000000000000005E-3</v>
      </c>
      <c r="H5" s="333">
        <f>'3.4транспортирование'!T48</f>
        <v>5.3E-3</v>
      </c>
      <c r="I5" s="334">
        <f>'3.4транспортирование'!U48</f>
        <v>1.9599999999999999E-2</v>
      </c>
      <c r="J5" s="242">
        <f>'3.4транспортирование'!T53</f>
        <v>1.5E-3</v>
      </c>
      <c r="K5" s="158">
        <f>'3.4транспортирование'!U53</f>
        <v>3.8E-3</v>
      </c>
    </row>
    <row r="6" spans="2:11" ht="20.100000000000001" customHeight="1" x14ac:dyDescent="0.25">
      <c r="B6" s="568"/>
      <c r="C6" s="159">
        <v>9003</v>
      </c>
      <c r="D6" s="160" t="str">
        <f>'3.5сварка'!G33</f>
        <v>Фтористые газ.соед</v>
      </c>
      <c r="E6" s="161" t="str">
        <f>'3.5сварка'!H33</f>
        <v>0342</v>
      </c>
      <c r="F6" s="162">
        <f>'3.5сварка'!J33</f>
        <v>3.0000000000000001E-5</v>
      </c>
      <c r="G6" s="163">
        <f>'3.5сварка'!K33</f>
        <v>1.0000000000000001E-5</v>
      </c>
      <c r="H6" s="164">
        <f>'3.5сварка'!J42</f>
        <v>3.0000000000000001E-5</v>
      </c>
      <c r="I6" s="194">
        <f>'3.5сварка'!K42</f>
        <v>2.0000000000000002E-5</v>
      </c>
      <c r="J6" s="162">
        <f>'3.5сварка'!J51</f>
        <v>3.0000000000000001E-5</v>
      </c>
      <c r="K6" s="163">
        <f>'3.5сварка'!K51</f>
        <v>1.0000000000000001E-5</v>
      </c>
    </row>
    <row r="7" spans="2:11" ht="20.100000000000001" customHeight="1" x14ac:dyDescent="0.25">
      <c r="B7" s="568"/>
      <c r="C7" s="166"/>
      <c r="D7" s="167" t="str">
        <f>'3.5сварка'!G34</f>
        <v>Диоксид азота</v>
      </c>
      <c r="E7" s="168" t="str">
        <f>'3.5сварка'!H34</f>
        <v>0301</v>
      </c>
      <c r="F7" s="169">
        <f>'3.5сварка'!J34</f>
        <v>1E-4</v>
      </c>
      <c r="G7" s="170">
        <f>'3.5сварка'!K34</f>
        <v>1.0000000000000001E-5</v>
      </c>
      <c r="H7" s="171">
        <f>'3.5сварка'!J43</f>
        <v>1E-4</v>
      </c>
      <c r="I7" s="187">
        <f>'3.5сварка'!K43</f>
        <v>3.0000000000000001E-5</v>
      </c>
      <c r="J7" s="169">
        <f>'3.5сварка'!J52</f>
        <v>1E-4</v>
      </c>
      <c r="K7" s="170">
        <f>'3.5сварка'!K52</f>
        <v>1.0000000000000001E-5</v>
      </c>
    </row>
    <row r="8" spans="2:11" ht="20.100000000000001" customHeight="1" x14ac:dyDescent="0.25">
      <c r="B8" s="568"/>
      <c r="C8" s="166"/>
      <c r="D8" s="167" t="str">
        <f>'3.5сварка'!G35</f>
        <v>Марганец и его соед.</v>
      </c>
      <c r="E8" s="168" t="str">
        <f>'3.5сварка'!H35</f>
        <v>0143</v>
      </c>
      <c r="F8" s="169">
        <f>'3.5сварка'!J35</f>
        <v>3.0000000000000001E-5</v>
      </c>
      <c r="G8" s="170">
        <f>'3.5сварка'!K35</f>
        <v>1.0000000000000001E-5</v>
      </c>
      <c r="H8" s="171">
        <f>'3.5сварка'!J44</f>
        <v>4.0000000000000003E-5</v>
      </c>
      <c r="I8" s="187">
        <f>'3.5сварка'!K44</f>
        <v>2.0000000000000002E-5</v>
      </c>
      <c r="J8" s="169">
        <f>'3.5сварка'!J53</f>
        <v>3.0000000000000001E-5</v>
      </c>
      <c r="K8" s="170">
        <f>'3.5сварка'!K53</f>
        <v>1.0000000000000001E-5</v>
      </c>
    </row>
    <row r="9" spans="2:11" ht="20.100000000000001" customHeight="1" x14ac:dyDescent="0.25">
      <c r="B9" s="568"/>
      <c r="C9" s="166"/>
      <c r="D9" s="167" t="str">
        <f>'3.5сварка'!G36</f>
        <v>Фториды</v>
      </c>
      <c r="E9" s="168" t="str">
        <f>'3.5сварка'!H36</f>
        <v>0344</v>
      </c>
      <c r="F9" s="169">
        <f>'3.5сварка'!J36</f>
        <v>1E-4</v>
      </c>
      <c r="G9" s="170">
        <f>'3.5сварка'!K36</f>
        <v>2.0000000000000002E-5</v>
      </c>
      <c r="H9" s="171">
        <f>'3.5сварка'!J45</f>
        <v>1E-4</v>
      </c>
      <c r="I9" s="187">
        <f>'3.5сварка'!K45</f>
        <v>6.9999999999999994E-5</v>
      </c>
      <c r="J9" s="169">
        <f>'3.5сварка'!J54</f>
        <v>1E-4</v>
      </c>
      <c r="K9" s="170">
        <f>'3.5сварка'!K54</f>
        <v>2.0000000000000002E-5</v>
      </c>
    </row>
    <row r="10" spans="2:11" ht="20.100000000000001" customHeight="1" x14ac:dyDescent="0.25">
      <c r="B10" s="568"/>
      <c r="C10" s="166"/>
      <c r="D10" s="167" t="str">
        <f>'3.5сварка'!G37</f>
        <v>Железа оксид</v>
      </c>
      <c r="E10" s="168" t="str">
        <f>'3.5сварка'!H37</f>
        <v>0123</v>
      </c>
      <c r="F10" s="169">
        <f>'3.5сварка'!J37</f>
        <v>4.0000000000000002E-4</v>
      </c>
      <c r="G10" s="170">
        <f>'3.5сварка'!K37</f>
        <v>1E-4</v>
      </c>
      <c r="H10" s="171">
        <f>'3.5сварка'!J46</f>
        <v>5.0000000000000001E-4</v>
      </c>
      <c r="I10" s="187">
        <f>'3.5сварка'!K46</f>
        <v>2.0000000000000001E-4</v>
      </c>
      <c r="J10" s="169">
        <f>'3.5сварка'!J55</f>
        <v>4.0000000000000002E-4</v>
      </c>
      <c r="K10" s="170">
        <f>'3.5сварка'!K55</f>
        <v>1E-4</v>
      </c>
    </row>
    <row r="11" spans="2:11" ht="20.100000000000001" customHeight="1" x14ac:dyDescent="0.25">
      <c r="B11" s="568"/>
      <c r="C11" s="166"/>
      <c r="D11" s="167" t="str">
        <f>'3.5сварка'!G38</f>
        <v>Пыль неорг.с сод-м SiO2 70-20 %</v>
      </c>
      <c r="E11" s="168">
        <f>'3.5сварка'!H38</f>
        <v>2908</v>
      </c>
      <c r="F11" s="169">
        <f>'3.5сварка'!J38</f>
        <v>1E-4</v>
      </c>
      <c r="G11" s="170">
        <f>'3.5сварка'!K38</f>
        <v>1.0000000000000001E-5</v>
      </c>
      <c r="H11" s="171">
        <f>'3.5сварка'!J47</f>
        <v>1E-4</v>
      </c>
      <c r="I11" s="187">
        <f>'3.5сварка'!K47</f>
        <v>3.0000000000000001E-5</v>
      </c>
      <c r="J11" s="169">
        <f>'3.5сварка'!J56</f>
        <v>1E-4</v>
      </c>
      <c r="K11" s="170">
        <f>'3.5сварка'!K56</f>
        <v>1.0000000000000001E-5</v>
      </c>
    </row>
    <row r="12" spans="2:11" ht="20.100000000000001" customHeight="1" x14ac:dyDescent="0.25">
      <c r="B12" s="568"/>
      <c r="C12" s="166"/>
      <c r="D12" s="174" t="str">
        <f>'3.5сварка'!G39</f>
        <v>Оксид углерода</v>
      </c>
      <c r="E12" s="175" t="str">
        <f>'3.5сварка'!H39</f>
        <v>0337</v>
      </c>
      <c r="F12" s="176">
        <f>'3.5сварка'!J39</f>
        <v>5.0000000000000001E-4</v>
      </c>
      <c r="G12" s="177">
        <f>'3.5сварка'!K39</f>
        <v>1E-4</v>
      </c>
      <c r="H12" s="178">
        <f>'3.5сварка'!J48</f>
        <v>5.9999999999999995E-4</v>
      </c>
      <c r="I12" s="192">
        <f>'3.5сварка'!K48</f>
        <v>2.9999999999999997E-4</v>
      </c>
      <c r="J12" s="176">
        <f>'3.5сварка'!J57</f>
        <v>5.0000000000000001E-4</v>
      </c>
      <c r="K12" s="177">
        <f>'3.5сварка'!K57</f>
        <v>1E-4</v>
      </c>
    </row>
    <row r="13" spans="2:11" s="198" customFormat="1" ht="39.75" customHeight="1" x14ac:dyDescent="0.25">
      <c r="B13" s="569" t="s">
        <v>336</v>
      </c>
      <c r="C13" s="199">
        <v>9004</v>
      </c>
      <c r="D13" s="200" t="str">
        <f>'3.6 топливозаправщик'!K54</f>
        <v>Углеводороды С12-С19</v>
      </c>
      <c r="E13" s="244">
        <f>'3.6 топливозаправщик'!L54</f>
        <v>2754</v>
      </c>
      <c r="F13" s="202">
        <f>'3.6 топливозаправщик'!N54</f>
        <v>6.3E-3</v>
      </c>
      <c r="G13" s="201">
        <f>'3.6 топливозаправщик'!O54</f>
        <v>8.5999999999999998E-4</v>
      </c>
      <c r="H13" s="202">
        <f>'3.6 топливозаправщик'!N58</f>
        <v>6.3E-3</v>
      </c>
      <c r="I13" s="201">
        <f>'3.6 топливозаправщик'!O58</f>
        <v>3.9500000000000004E-3</v>
      </c>
      <c r="J13" s="202">
        <f>'3.6 топливозаправщик'!N62</f>
        <v>6.3E-3</v>
      </c>
      <c r="K13" s="201">
        <f>'3.6 топливозаправщик'!O62</f>
        <v>5.5999999999999995E-4</v>
      </c>
    </row>
    <row r="14" spans="2:11" s="198" customFormat="1" ht="39.75" customHeight="1" x14ac:dyDescent="0.25">
      <c r="B14" s="570"/>
      <c r="C14" s="203"/>
      <c r="D14" s="204" t="str">
        <f>'3.6 топливозаправщик'!K55</f>
        <v>Сероводород</v>
      </c>
      <c r="E14" s="243" t="str">
        <f>'3.6 топливозаправщик'!L55</f>
        <v>0333</v>
      </c>
      <c r="F14" s="206">
        <f>'3.6 топливозаправщик'!N55</f>
        <v>2.0000000000000002E-5</v>
      </c>
      <c r="G14" s="205">
        <f>'3.6 топливозаправщик'!O55</f>
        <v>1.9999999999999999E-6</v>
      </c>
      <c r="H14" s="263">
        <f>'3.6 топливозаправщик'!N59</f>
        <v>2.0000000000000002E-5</v>
      </c>
      <c r="I14" s="205">
        <f>'3.6 топливозаправщик'!O59</f>
        <v>1.1E-5</v>
      </c>
      <c r="J14" s="206">
        <f>'3.6 топливозаправщик'!N63</f>
        <v>2.0000000000000002E-5</v>
      </c>
      <c r="K14" s="205">
        <f>'3.6 топливозаправщик'!O63</f>
        <v>1.9999999999999999E-6</v>
      </c>
    </row>
    <row r="15" spans="2:11" s="180" customFormat="1" ht="20.100000000000001" customHeight="1" x14ac:dyDescent="0.25">
      <c r="B15" s="569" t="s">
        <v>330</v>
      </c>
      <c r="C15" s="207">
        <v>3001</v>
      </c>
      <c r="D15" s="208" t="str">
        <f>'3.7ДЭС'!K26</f>
        <v>Углерода оксид</v>
      </c>
      <c r="E15" s="165" t="str">
        <f>'3.7ДЭС'!L26</f>
        <v>0337</v>
      </c>
      <c r="F15" s="164">
        <f>'3.7ДЭС'!M26</f>
        <v>0.06</v>
      </c>
      <c r="G15" s="272">
        <f>'3.7ДЭС'!N26</f>
        <v>1.4999999999999999E-2</v>
      </c>
      <c r="H15" s="195"/>
      <c r="I15" s="194"/>
      <c r="J15" s="195">
        <f>'3.7ДЭС'!M46</f>
        <v>0.06</v>
      </c>
      <c r="K15" s="194">
        <f>'3.7ДЭС'!N46</f>
        <v>1.4999999999999999E-2</v>
      </c>
    </row>
    <row r="16" spans="2:11" s="180" customFormat="1" ht="20.100000000000001" customHeight="1" x14ac:dyDescent="0.25">
      <c r="B16" s="570"/>
      <c r="C16" s="189"/>
      <c r="D16" s="186" t="str">
        <f>'3.7ДЭС'!K27</f>
        <v>Азота диоксид</v>
      </c>
      <c r="E16" s="172" t="str">
        <f>'3.7ДЭС'!L27</f>
        <v>0301</v>
      </c>
      <c r="F16" s="171">
        <f>'3.7ДЭС'!M27</f>
        <v>6.8699999999999997E-2</v>
      </c>
      <c r="G16" s="187">
        <f>'3.7ДЭС'!N27</f>
        <v>1.72E-2</v>
      </c>
      <c r="H16" s="188"/>
      <c r="I16" s="187"/>
      <c r="J16" s="188">
        <f>'3.7ДЭС'!M47</f>
        <v>6.8699999999999997E-2</v>
      </c>
      <c r="K16" s="187">
        <f>'3.7ДЭС'!N47</f>
        <v>1.72E-2</v>
      </c>
    </row>
    <row r="17" spans="2:11" s="180" customFormat="1" ht="20.100000000000001" customHeight="1" x14ac:dyDescent="0.25">
      <c r="B17" s="570"/>
      <c r="C17" s="189"/>
      <c r="D17" s="186" t="str">
        <f>'3.7ДЭС'!K28</f>
        <v>Азота оксид</v>
      </c>
      <c r="E17" s="172" t="str">
        <f>'3.7ДЭС'!L28</f>
        <v>0304</v>
      </c>
      <c r="F17" s="171">
        <f>'3.7ДЭС'!M28</f>
        <v>1.12E-2</v>
      </c>
      <c r="G17" s="187">
        <f>'3.7ДЭС'!N28</f>
        <v>2.8E-3</v>
      </c>
      <c r="H17" s="188"/>
      <c r="I17" s="187"/>
      <c r="J17" s="188">
        <f>'3.7ДЭС'!M48</f>
        <v>1.12E-2</v>
      </c>
      <c r="K17" s="187">
        <f>'3.7ДЭС'!N48</f>
        <v>2.8E-3</v>
      </c>
    </row>
    <row r="18" spans="2:11" s="180" customFormat="1" ht="20.100000000000001" customHeight="1" x14ac:dyDescent="0.25">
      <c r="B18" s="570"/>
      <c r="C18" s="189"/>
      <c r="D18" s="186" t="str">
        <f>'3.7ДЭС'!K29</f>
        <v>Углеводороды</v>
      </c>
      <c r="E18" s="172">
        <f>'3.7ДЭС'!L29</f>
        <v>2754</v>
      </c>
      <c r="F18" s="171">
        <f>'3.7ДЭС'!M29</f>
        <v>0.03</v>
      </c>
      <c r="G18" s="187">
        <f>'3.7ДЭС'!N29</f>
        <v>7.4999999999999997E-3</v>
      </c>
      <c r="H18" s="188"/>
      <c r="I18" s="187"/>
      <c r="J18" s="188">
        <f>'3.7ДЭС'!M49</f>
        <v>0.03</v>
      </c>
      <c r="K18" s="187">
        <f>'3.7ДЭС'!N49</f>
        <v>7.4999999999999997E-3</v>
      </c>
    </row>
    <row r="19" spans="2:11" s="180" customFormat="1" ht="20.100000000000001" customHeight="1" x14ac:dyDescent="0.25">
      <c r="B19" s="570"/>
      <c r="C19" s="189"/>
      <c r="D19" s="186" t="str">
        <f>'3.7ДЭС'!K30</f>
        <v>Углерод черный</v>
      </c>
      <c r="E19" s="172" t="str">
        <f>'3.7ДЭС'!L30</f>
        <v>0328</v>
      </c>
      <c r="F19" s="171">
        <f>'3.7ДЭС'!M30</f>
        <v>5.7999999999999996E-3</v>
      </c>
      <c r="G19" s="187">
        <f>'3.7ДЭС'!N30</f>
        <v>1.5E-3</v>
      </c>
      <c r="H19" s="188"/>
      <c r="I19" s="187"/>
      <c r="J19" s="188">
        <f>'3.7ДЭС'!M50</f>
        <v>5.7999999999999996E-3</v>
      </c>
      <c r="K19" s="187">
        <f>'3.7ДЭС'!N50</f>
        <v>1.5E-3</v>
      </c>
    </row>
    <row r="20" spans="2:11" s="180" customFormat="1" ht="20.100000000000001" customHeight="1" x14ac:dyDescent="0.25">
      <c r="B20" s="570"/>
      <c r="C20" s="189"/>
      <c r="D20" s="186" t="str">
        <f>'3.7ДЭС'!K31</f>
        <v>Сернистый ангидрид</v>
      </c>
      <c r="E20" s="172" t="str">
        <f>'3.7ДЭС'!L31</f>
        <v>0330</v>
      </c>
      <c r="F20" s="171">
        <f>'3.7ДЭС'!M31</f>
        <v>9.1999999999999998E-3</v>
      </c>
      <c r="G20" s="187">
        <f>'3.7ДЭС'!N31</f>
        <v>2.3E-3</v>
      </c>
      <c r="H20" s="188"/>
      <c r="I20" s="187"/>
      <c r="J20" s="188">
        <f>'3.7ДЭС'!M51</f>
        <v>9.1999999999999998E-3</v>
      </c>
      <c r="K20" s="187">
        <f>'3.7ДЭС'!N51</f>
        <v>2.3E-3</v>
      </c>
    </row>
    <row r="21" spans="2:11" s="180" customFormat="1" ht="20.100000000000001" customHeight="1" x14ac:dyDescent="0.25">
      <c r="B21" s="570"/>
      <c r="C21" s="189"/>
      <c r="D21" s="186" t="str">
        <f>'3.7ДЭС'!K32</f>
        <v>Формальдегид</v>
      </c>
      <c r="E21" s="172" t="str">
        <f>'3.7ДЭС'!L32</f>
        <v>1325</v>
      </c>
      <c r="F21" s="171">
        <f>'3.7ДЭС'!M32</f>
        <v>1.2999999999999999E-3</v>
      </c>
      <c r="G21" s="187">
        <f>'3.7ДЭС'!N32</f>
        <v>2.9999999999999997E-4</v>
      </c>
      <c r="H21" s="188"/>
      <c r="I21" s="187"/>
      <c r="J21" s="188">
        <f>'3.7ДЭС'!M52</f>
        <v>1.2999999999999999E-3</v>
      </c>
      <c r="K21" s="187">
        <f>'3.7ДЭС'!N52</f>
        <v>2.9999999999999997E-4</v>
      </c>
    </row>
    <row r="22" spans="2:11" s="180" customFormat="1" ht="20.100000000000001" customHeight="1" x14ac:dyDescent="0.25">
      <c r="B22" s="574"/>
      <c r="C22" s="189"/>
      <c r="D22" s="191" t="str">
        <f>'3.7ДЭС'!K33</f>
        <v>Бенз(а)пирен</v>
      </c>
      <c r="E22" s="179" t="str">
        <f>'3.7ДЭС'!L33</f>
        <v>0703</v>
      </c>
      <c r="F22" s="178">
        <f>'3.7ДЭС'!M33</f>
        <v>9.9999999999999995E-8</v>
      </c>
      <c r="G22" s="192">
        <f>'3.7ДЭС'!N33</f>
        <v>2.9999999999999997E-8</v>
      </c>
      <c r="H22" s="193"/>
      <c r="I22" s="192"/>
      <c r="J22" s="193">
        <f>'3.7ДЭС'!M53</f>
        <v>9.9999999999999995E-8</v>
      </c>
      <c r="K22" s="192">
        <f>'3.7ДЭС'!N53</f>
        <v>2.9999999999999997E-8</v>
      </c>
    </row>
    <row r="23" spans="2:11" s="180" customFormat="1" ht="20.100000000000001" customHeight="1" x14ac:dyDescent="0.25">
      <c r="B23" s="569" t="s">
        <v>337</v>
      </c>
      <c r="C23" s="207">
        <v>3002</v>
      </c>
      <c r="D23" s="186" t="str">
        <f>'3.7ДЭС'!K36</f>
        <v>Углерода оксид</v>
      </c>
      <c r="E23" s="185" t="str">
        <f>'3.7ДЭС'!L36</f>
        <v>0337</v>
      </c>
      <c r="F23" s="382"/>
      <c r="G23" s="383"/>
      <c r="H23" s="188">
        <f>'3.7ДЭС'!M36</f>
        <v>0.1</v>
      </c>
      <c r="I23" s="194">
        <f>'3.7ДЭС'!N36</f>
        <v>7.4700000000000003E-2</v>
      </c>
      <c r="J23" s="164"/>
      <c r="K23" s="194"/>
    </row>
    <row r="24" spans="2:11" s="132" customFormat="1" ht="20.100000000000001" customHeight="1" x14ac:dyDescent="0.25">
      <c r="B24" s="570"/>
      <c r="C24" s="166"/>
      <c r="D24" s="186" t="str">
        <f>'3.7ДЭС'!K37</f>
        <v>Азота диоксид</v>
      </c>
      <c r="E24" s="185" t="str">
        <f>'3.7ДЭС'!L37</f>
        <v>0301</v>
      </c>
      <c r="F24" s="183"/>
      <c r="G24" s="170"/>
      <c r="H24" s="188">
        <f>'3.7ДЭС'!M37</f>
        <v>0.1144</v>
      </c>
      <c r="I24" s="187">
        <f>'3.7ДЭС'!N37</f>
        <v>8.5699999999999998E-2</v>
      </c>
      <c r="J24" s="171"/>
      <c r="K24" s="187"/>
    </row>
    <row r="25" spans="2:11" s="132" customFormat="1" ht="20.100000000000001" customHeight="1" x14ac:dyDescent="0.25">
      <c r="B25" s="570"/>
      <c r="C25" s="166"/>
      <c r="D25" s="186" t="str">
        <f>'3.7ДЭС'!K38</f>
        <v>Азота оксид</v>
      </c>
      <c r="E25" s="185" t="str">
        <f>'3.7ДЭС'!L38</f>
        <v>0304</v>
      </c>
      <c r="F25" s="183"/>
      <c r="G25" s="170"/>
      <c r="H25" s="188">
        <f>'3.7ДЭС'!M38</f>
        <v>1.8599999999999998E-2</v>
      </c>
      <c r="I25" s="187">
        <f>'3.7ДЭС'!N38</f>
        <v>1.3899999999999999E-2</v>
      </c>
      <c r="J25" s="171"/>
      <c r="K25" s="187"/>
    </row>
    <row r="26" spans="2:11" s="132" customFormat="1" ht="20.100000000000001" customHeight="1" x14ac:dyDescent="0.25">
      <c r="B26" s="570"/>
      <c r="C26" s="166"/>
      <c r="D26" s="186" t="str">
        <f>'3.7ДЭС'!K39</f>
        <v>Углеводороды</v>
      </c>
      <c r="E26" s="185">
        <f>'3.7ДЭС'!L39</f>
        <v>2754</v>
      </c>
      <c r="F26" s="183"/>
      <c r="G26" s="170"/>
      <c r="H26" s="188">
        <f>'3.7ДЭС'!M39</f>
        <v>0.05</v>
      </c>
      <c r="I26" s="187">
        <f>'3.7ДЭС'!N39</f>
        <v>3.7400000000000003E-2</v>
      </c>
      <c r="J26" s="171"/>
      <c r="K26" s="187"/>
    </row>
    <row r="27" spans="2:11" s="132" customFormat="1" ht="20.100000000000001" customHeight="1" x14ac:dyDescent="0.25">
      <c r="B27" s="570"/>
      <c r="C27" s="166"/>
      <c r="D27" s="186" t="str">
        <f>'3.7ДЭС'!K40</f>
        <v>Углерод черный</v>
      </c>
      <c r="E27" s="185" t="str">
        <f>'3.7ДЭС'!L40</f>
        <v>0328</v>
      </c>
      <c r="F27" s="183"/>
      <c r="G27" s="170"/>
      <c r="H27" s="188">
        <f>'3.7ДЭС'!M40</f>
        <v>9.7000000000000003E-3</v>
      </c>
      <c r="I27" s="187">
        <f>'3.7ДЭС'!N40</f>
        <v>7.4999999999999997E-3</v>
      </c>
      <c r="J27" s="171"/>
      <c r="K27" s="187"/>
    </row>
    <row r="28" spans="2:11" s="132" customFormat="1" ht="20.100000000000001" customHeight="1" x14ac:dyDescent="0.25">
      <c r="B28" s="570"/>
      <c r="C28" s="166"/>
      <c r="D28" s="186" t="str">
        <f>'3.7ДЭС'!K41</f>
        <v>Сернистый ангидрид</v>
      </c>
      <c r="E28" s="185" t="str">
        <f>'3.7ДЭС'!L41</f>
        <v>0330</v>
      </c>
      <c r="F28" s="183"/>
      <c r="G28" s="170"/>
      <c r="H28" s="188">
        <f>'3.7ДЭС'!M41</f>
        <v>1.5299999999999999E-2</v>
      </c>
      <c r="I28" s="187">
        <f>'3.7ДЭС'!N41</f>
        <v>1.12E-2</v>
      </c>
      <c r="J28" s="171"/>
      <c r="K28" s="187"/>
    </row>
    <row r="29" spans="2:11" s="132" customFormat="1" ht="20.100000000000001" customHeight="1" x14ac:dyDescent="0.25">
      <c r="B29" s="570"/>
      <c r="C29" s="166"/>
      <c r="D29" s="186" t="str">
        <f>'3.7ДЭС'!K42</f>
        <v>Формальдегид</v>
      </c>
      <c r="E29" s="185" t="str">
        <f>'3.7ДЭС'!L42</f>
        <v>1325</v>
      </c>
      <c r="F29" s="183"/>
      <c r="G29" s="170"/>
      <c r="H29" s="188">
        <f>'3.7ДЭС'!M42</f>
        <v>2.0999999999999999E-3</v>
      </c>
      <c r="I29" s="187">
        <f>'3.7ДЭС'!N42</f>
        <v>1.49E-3</v>
      </c>
      <c r="J29" s="171"/>
      <c r="K29" s="187"/>
    </row>
    <row r="30" spans="2:11" s="132" customFormat="1" ht="20.100000000000001" customHeight="1" thickBot="1" x14ac:dyDescent="0.3">
      <c r="B30" s="572"/>
      <c r="C30" s="166"/>
      <c r="D30" s="186" t="str">
        <f>'3.7ДЭС'!K43</f>
        <v>Бенз(а)пирен</v>
      </c>
      <c r="E30" s="185" t="str">
        <f>'3.7ДЭС'!L43</f>
        <v>0703</v>
      </c>
      <c r="F30" s="218"/>
      <c r="G30" s="219"/>
      <c r="H30" s="188">
        <f>'3.7ДЭС'!M43</f>
        <v>1.9999999999999999E-7</v>
      </c>
      <c r="I30" s="209">
        <f>'3.7ДЭС'!N43</f>
        <v>9.9999999999999995E-8</v>
      </c>
      <c r="J30" s="171"/>
      <c r="K30" s="187"/>
    </row>
    <row r="31" spans="2:11" s="231" customFormat="1" ht="30.95" customHeight="1" thickBot="1" x14ac:dyDescent="0.3">
      <c r="B31" s="273"/>
      <c r="C31" s="274"/>
      <c r="D31" s="275" t="s">
        <v>331</v>
      </c>
      <c r="E31" s="274"/>
      <c r="F31" s="276">
        <f t="shared" ref="F31:K31" si="0">SUM(F4:F30)</f>
        <v>0.51838009999999979</v>
      </c>
      <c r="G31" s="277">
        <f t="shared" si="0"/>
        <v>0.30842203000000007</v>
      </c>
      <c r="H31" s="276">
        <f t="shared" si="0"/>
        <v>0.6594901999999998</v>
      </c>
      <c r="I31" s="277">
        <f t="shared" si="0"/>
        <v>1.0197210999999999</v>
      </c>
      <c r="J31" s="276">
        <f>SUM(J4:J30)</f>
        <v>0.4398801</v>
      </c>
      <c r="K31" s="277">
        <f t="shared" si="0"/>
        <v>0.31082203000000008</v>
      </c>
    </row>
    <row r="32" spans="2:11" s="233" customFormat="1" ht="12.75" x14ac:dyDescent="0.2">
      <c r="B32" s="88"/>
      <c r="C32" s="245"/>
      <c r="D32" s="246"/>
      <c r="E32" s="245"/>
      <c r="F32" s="210">
        <f>'3.1снятие ПРС бульдозер'!Q33+'3.2погрузка экскаватора'!Q36+'3.3земляные работы'!S44+'3.4транспортирование'!V41+'3.5сварка'!L39+'3.6 топливозаправщик'!P55+'3.7ДЭС'!O33</f>
        <v>0.5183800999999999</v>
      </c>
      <c r="G32" s="210">
        <f>'3.1снятие ПРС бульдозер'!R33+'3.2погрузка экскаватора'!R36+'3.3земляные работы'!T44+'3.4транспортирование'!W41+'3.5сварка'!M39+'3.6 топливозаправщик'!Q55+'3.7ДЭС'!P33</f>
        <v>0.3084220299999999</v>
      </c>
      <c r="H32" s="211">
        <f>'3.1снятие ПРС бульдозер'!Q38+'3.2погрузка экскаватора'!Q41+'3.3земляные работы'!S56+'3.4транспортирование'!V48+'3.5сварка'!L48+'3.6 топливозаправщик'!P59+'3.7ДЭС'!O43</f>
        <v>0.65949020000000003</v>
      </c>
      <c r="I32" s="211">
        <f>'3.1снятие ПРС бульдозер'!R38+'3.2погрузка экскаватора'!R41+'3.3земляные работы'!T56+'3.4транспортирование'!W48+'3.5сварка'!M48+'3.6 топливозаправщик'!Q59+'3.7ДЭС'!P43</f>
        <v>1.0197210999999999</v>
      </c>
      <c r="J32" s="210">
        <f>'3.1снятие ПРС бульдозер'!Q42+'3.2погрузка экскаватора'!Q44+'3.3земляные работы'!S68+'3.4транспортирование'!V53+'3.5сварка'!L57+'3.6 топливозаправщик'!P63+'3.7ДЭС'!O53</f>
        <v>0.4398801</v>
      </c>
      <c r="K32" s="210">
        <f>'3.1снятие ПРС бульдозер'!R42+'3.2погрузка экскаватора'!R44+'3.3земляные работы'!T68+'3.4транспортирование'!W53+'3.5сварка'!M57+'3.6 топливозаправщик'!Q63+'3.7ДЭС'!P53</f>
        <v>0.31082202999999997</v>
      </c>
    </row>
    <row r="33" spans="2:11" s="233" customFormat="1" ht="12.75" x14ac:dyDescent="0.2">
      <c r="B33" s="88"/>
      <c r="C33" s="245"/>
      <c r="D33" s="246"/>
      <c r="E33" s="245"/>
      <c r="F33" s="212">
        <f>F31-F32</f>
        <v>0</v>
      </c>
      <c r="G33" s="212">
        <f t="shared" ref="G33:J33" si="1">G31-G32</f>
        <v>0</v>
      </c>
      <c r="H33" s="213">
        <f t="shared" si="1"/>
        <v>0</v>
      </c>
      <c r="I33" s="213">
        <f t="shared" si="1"/>
        <v>0</v>
      </c>
      <c r="J33" s="213">
        <f t="shared" si="1"/>
        <v>0</v>
      </c>
      <c r="K33" s="213">
        <f t="shared" ref="K33" si="2">K31-K32</f>
        <v>0</v>
      </c>
    </row>
    <row r="34" spans="2:11" s="237" customFormat="1" ht="12.75" x14ac:dyDescent="0.2">
      <c r="B34" s="232"/>
      <c r="D34" s="234"/>
      <c r="E34" s="233"/>
      <c r="F34" s="235"/>
      <c r="G34" s="235"/>
      <c r="H34" s="236"/>
      <c r="I34" s="236"/>
      <c r="J34" s="265"/>
      <c r="K34" s="265"/>
    </row>
    <row r="35" spans="2:11" s="237" customFormat="1" ht="12.75" x14ac:dyDescent="0.2">
      <c r="B35" s="232"/>
      <c r="D35" s="234"/>
      <c r="E35" s="233"/>
      <c r="F35" s="235"/>
      <c r="G35" s="235"/>
      <c r="H35" s="236"/>
      <c r="I35" s="236"/>
      <c r="J35" s="265"/>
      <c r="K35" s="265"/>
    </row>
    <row r="36" spans="2:11" s="95" customFormat="1" ht="20.25" x14ac:dyDescent="0.2">
      <c r="B36" s="581" t="s">
        <v>383</v>
      </c>
      <c r="C36" s="581"/>
      <c r="D36" s="581"/>
      <c r="E36" s="581"/>
      <c r="F36" s="581"/>
      <c r="G36" s="247"/>
      <c r="H36" s="265"/>
      <c r="I36" s="265"/>
      <c r="J36" s="265"/>
      <c r="K36" s="265"/>
    </row>
    <row r="37" spans="2:11" s="132" customFormat="1" ht="20.100000000000001" customHeight="1" x14ac:dyDescent="0.25">
      <c r="B37" s="197"/>
      <c r="F37" s="573" t="s">
        <v>332</v>
      </c>
      <c r="G37" s="573"/>
      <c r="H37" s="573" t="s">
        <v>332</v>
      </c>
      <c r="I37" s="573"/>
      <c r="J37" s="573" t="s">
        <v>332</v>
      </c>
      <c r="K37" s="573"/>
    </row>
    <row r="38" spans="2:11" s="19" customFormat="1" ht="19.5" customHeight="1" x14ac:dyDescent="0.25">
      <c r="B38" s="145"/>
      <c r="D38" s="575" t="s">
        <v>13</v>
      </c>
      <c r="E38" s="575" t="s">
        <v>329</v>
      </c>
      <c r="F38" s="577" t="s">
        <v>17</v>
      </c>
      <c r="G38" s="577"/>
      <c r="H38" s="578" t="s">
        <v>21</v>
      </c>
      <c r="I38" s="578"/>
      <c r="J38" s="577" t="s">
        <v>22</v>
      </c>
      <c r="K38" s="577"/>
    </row>
    <row r="39" spans="2:11" s="132" customFormat="1" ht="20.100000000000001" customHeight="1" x14ac:dyDescent="0.25">
      <c r="B39" s="197"/>
      <c r="D39" s="576"/>
      <c r="E39" s="576"/>
      <c r="F39" s="214" t="s">
        <v>70</v>
      </c>
      <c r="G39" s="214" t="s">
        <v>69</v>
      </c>
      <c r="H39" s="214" t="s">
        <v>70</v>
      </c>
      <c r="I39" s="214" t="s">
        <v>69</v>
      </c>
      <c r="J39" s="214" t="s">
        <v>70</v>
      </c>
      <c r="K39" s="214" t="s">
        <v>69</v>
      </c>
    </row>
    <row r="40" spans="2:11" s="132" customFormat="1" ht="20.100000000000001" customHeight="1" x14ac:dyDescent="0.25">
      <c r="B40" s="197"/>
      <c r="D40" s="155">
        <v>1</v>
      </c>
      <c r="E40" s="155">
        <v>2</v>
      </c>
      <c r="F40" s="155">
        <v>3</v>
      </c>
      <c r="G40" s="155">
        <v>4</v>
      </c>
      <c r="H40" s="155">
        <v>5</v>
      </c>
      <c r="I40" s="155">
        <v>6</v>
      </c>
      <c r="J40" s="155">
        <v>7</v>
      </c>
      <c r="K40" s="155">
        <v>8</v>
      </c>
    </row>
    <row r="41" spans="2:11" s="132" customFormat="1" ht="20.100000000000001" customHeight="1" x14ac:dyDescent="0.25">
      <c r="B41" s="197"/>
      <c r="D41" s="250" t="s">
        <v>100</v>
      </c>
      <c r="E41" s="251" t="s">
        <v>101</v>
      </c>
      <c r="F41" s="155">
        <f t="shared" ref="F41:K41" si="3">F10</f>
        <v>4.0000000000000002E-4</v>
      </c>
      <c r="G41" s="155">
        <f t="shared" si="3"/>
        <v>1E-4</v>
      </c>
      <c r="H41" s="155">
        <f t="shared" si="3"/>
        <v>5.0000000000000001E-4</v>
      </c>
      <c r="I41" s="155">
        <f t="shared" si="3"/>
        <v>2.0000000000000001E-4</v>
      </c>
      <c r="J41" s="155">
        <f t="shared" si="3"/>
        <v>4.0000000000000002E-4</v>
      </c>
      <c r="K41" s="155">
        <f t="shared" si="3"/>
        <v>1E-4</v>
      </c>
    </row>
    <row r="42" spans="2:11" s="132" customFormat="1" ht="20.100000000000001" customHeight="1" x14ac:dyDescent="0.25">
      <c r="B42" s="197"/>
      <c r="D42" s="250" t="s">
        <v>96</v>
      </c>
      <c r="E42" s="251" t="s">
        <v>97</v>
      </c>
      <c r="F42" s="155">
        <f t="shared" ref="F42:K42" si="4">F8</f>
        <v>3.0000000000000001E-5</v>
      </c>
      <c r="G42" s="155">
        <f t="shared" si="4"/>
        <v>1.0000000000000001E-5</v>
      </c>
      <c r="H42" s="155">
        <f t="shared" si="4"/>
        <v>4.0000000000000003E-5</v>
      </c>
      <c r="I42" s="155">
        <f t="shared" si="4"/>
        <v>2.0000000000000002E-5</v>
      </c>
      <c r="J42" s="155">
        <f t="shared" si="4"/>
        <v>3.0000000000000001E-5</v>
      </c>
      <c r="K42" s="155">
        <f t="shared" si="4"/>
        <v>1.0000000000000001E-5</v>
      </c>
    </row>
    <row r="43" spans="2:11" s="132" customFormat="1" ht="20.100000000000001" customHeight="1" x14ac:dyDescent="0.25">
      <c r="B43" s="197"/>
      <c r="D43" s="250" t="s">
        <v>94</v>
      </c>
      <c r="E43" s="251" t="s">
        <v>95</v>
      </c>
      <c r="F43" s="155">
        <f>F7+F16+F24</f>
        <v>6.88E-2</v>
      </c>
      <c r="G43" s="155">
        <f t="shared" ref="G43:K43" si="5">G7+G16+G24</f>
        <v>1.721E-2</v>
      </c>
      <c r="H43" s="155">
        <f t="shared" si="5"/>
        <v>0.1145</v>
      </c>
      <c r="I43" s="155">
        <f t="shared" si="5"/>
        <v>8.5730000000000001E-2</v>
      </c>
      <c r="J43" s="155">
        <f t="shared" si="5"/>
        <v>6.88E-2</v>
      </c>
      <c r="K43" s="155">
        <f t="shared" si="5"/>
        <v>1.721E-2</v>
      </c>
    </row>
    <row r="44" spans="2:11" s="132" customFormat="1" ht="20.100000000000001" customHeight="1" x14ac:dyDescent="0.25">
      <c r="B44" s="197"/>
      <c r="D44" s="260" t="s">
        <v>112</v>
      </c>
      <c r="E44" s="261" t="s">
        <v>113</v>
      </c>
      <c r="F44" s="155">
        <f>F17+F25</f>
        <v>1.12E-2</v>
      </c>
      <c r="G44" s="155">
        <f t="shared" ref="G44:K44" si="6">G17+G25</f>
        <v>2.8E-3</v>
      </c>
      <c r="H44" s="155">
        <f t="shared" si="6"/>
        <v>1.8599999999999998E-2</v>
      </c>
      <c r="I44" s="155">
        <f t="shared" si="6"/>
        <v>1.3899999999999999E-2</v>
      </c>
      <c r="J44" s="155">
        <f t="shared" si="6"/>
        <v>1.12E-2</v>
      </c>
      <c r="K44" s="155">
        <f t="shared" si="6"/>
        <v>2.8E-3</v>
      </c>
    </row>
    <row r="45" spans="2:11" s="132" customFormat="1" ht="20.100000000000001" customHeight="1" x14ac:dyDescent="0.25">
      <c r="B45" s="197"/>
      <c r="D45" s="260" t="s">
        <v>170</v>
      </c>
      <c r="E45" s="261" t="s">
        <v>119</v>
      </c>
      <c r="F45" s="155">
        <f>F19+F27</f>
        <v>5.7999999999999996E-3</v>
      </c>
      <c r="G45" s="155">
        <f t="shared" ref="G45:J45" si="7">G19+G27</f>
        <v>1.5E-3</v>
      </c>
      <c r="H45" s="155">
        <f t="shared" si="7"/>
        <v>9.7000000000000003E-3</v>
      </c>
      <c r="I45" s="155">
        <f t="shared" si="7"/>
        <v>7.4999999999999997E-3</v>
      </c>
      <c r="J45" s="155">
        <f t="shared" si="7"/>
        <v>5.7999999999999996E-3</v>
      </c>
      <c r="K45" s="155">
        <f>K19+K27</f>
        <v>1.5E-3</v>
      </c>
    </row>
    <row r="46" spans="2:11" s="132" customFormat="1" ht="20.100000000000001" customHeight="1" x14ac:dyDescent="0.25">
      <c r="B46" s="197"/>
      <c r="D46" s="260" t="s">
        <v>167</v>
      </c>
      <c r="E46" s="261" t="s">
        <v>115</v>
      </c>
      <c r="F46" s="155">
        <f>F20+F28</f>
        <v>9.1999999999999998E-3</v>
      </c>
      <c r="G46" s="155">
        <f t="shared" ref="G46:K46" si="8">G20+G28</f>
        <v>2.3E-3</v>
      </c>
      <c r="H46" s="155">
        <f t="shared" si="8"/>
        <v>1.5299999999999999E-2</v>
      </c>
      <c r="I46" s="155">
        <f t="shared" si="8"/>
        <v>1.12E-2</v>
      </c>
      <c r="J46" s="155">
        <f t="shared" si="8"/>
        <v>9.1999999999999998E-3</v>
      </c>
      <c r="K46" s="155">
        <f t="shared" si="8"/>
        <v>2.3E-3</v>
      </c>
    </row>
    <row r="47" spans="2:11" s="132" customFormat="1" ht="20.100000000000001" customHeight="1" x14ac:dyDescent="0.25">
      <c r="B47" s="197"/>
      <c r="D47" s="252" t="s">
        <v>140</v>
      </c>
      <c r="E47" s="253" t="s">
        <v>141</v>
      </c>
      <c r="F47" s="155">
        <f t="shared" ref="F47:K47" si="9">F14</f>
        <v>2.0000000000000002E-5</v>
      </c>
      <c r="G47" s="155">
        <f t="shared" si="9"/>
        <v>1.9999999999999999E-6</v>
      </c>
      <c r="H47" s="155">
        <f t="shared" si="9"/>
        <v>2.0000000000000002E-5</v>
      </c>
      <c r="I47" s="155">
        <f t="shared" si="9"/>
        <v>1.1E-5</v>
      </c>
      <c r="J47" s="155">
        <f t="shared" si="9"/>
        <v>2.0000000000000002E-5</v>
      </c>
      <c r="K47" s="155">
        <f t="shared" si="9"/>
        <v>1.9999999999999999E-6</v>
      </c>
    </row>
    <row r="48" spans="2:11" s="132" customFormat="1" ht="20.100000000000001" customHeight="1" x14ac:dyDescent="0.25">
      <c r="B48" s="197"/>
      <c r="D48" s="250" t="s">
        <v>103</v>
      </c>
      <c r="E48" s="251" t="s">
        <v>104</v>
      </c>
      <c r="F48" s="155">
        <f>F12+F15+F23</f>
        <v>6.0499999999999998E-2</v>
      </c>
      <c r="G48" s="155">
        <f t="shared" ref="G48:K48" si="10">G12+G15+G23</f>
        <v>1.5099999999999999E-2</v>
      </c>
      <c r="H48" s="155">
        <f t="shared" si="10"/>
        <v>0.10060000000000001</v>
      </c>
      <c r="I48" s="155">
        <f t="shared" si="10"/>
        <v>7.4999999999999997E-2</v>
      </c>
      <c r="J48" s="155">
        <f t="shared" si="10"/>
        <v>6.0499999999999998E-2</v>
      </c>
      <c r="K48" s="155">
        <f t="shared" si="10"/>
        <v>1.5099999999999999E-2</v>
      </c>
    </row>
    <row r="49" spans="2:11" s="132" customFormat="1" ht="20.100000000000001" customHeight="1" x14ac:dyDescent="0.25">
      <c r="B49" s="197"/>
      <c r="D49" s="250" t="s">
        <v>91</v>
      </c>
      <c r="E49" s="251" t="s">
        <v>92</v>
      </c>
      <c r="F49" s="155">
        <f t="shared" ref="F49:K49" si="11">F6</f>
        <v>3.0000000000000001E-5</v>
      </c>
      <c r="G49" s="155">
        <f t="shared" si="11"/>
        <v>1.0000000000000001E-5</v>
      </c>
      <c r="H49" s="155">
        <f t="shared" si="11"/>
        <v>3.0000000000000001E-5</v>
      </c>
      <c r="I49" s="155">
        <f t="shared" si="11"/>
        <v>2.0000000000000002E-5</v>
      </c>
      <c r="J49" s="155">
        <f t="shared" si="11"/>
        <v>3.0000000000000001E-5</v>
      </c>
      <c r="K49" s="155">
        <f t="shared" si="11"/>
        <v>1.0000000000000001E-5</v>
      </c>
    </row>
    <row r="50" spans="2:11" s="132" customFormat="1" ht="20.100000000000001" customHeight="1" x14ac:dyDescent="0.25">
      <c r="B50" s="197"/>
      <c r="D50" s="250" t="s">
        <v>98</v>
      </c>
      <c r="E50" s="251" t="s">
        <v>99</v>
      </c>
      <c r="F50" s="155">
        <f t="shared" ref="F50:K50" si="12">F9</f>
        <v>1E-4</v>
      </c>
      <c r="G50" s="155">
        <f t="shared" si="12"/>
        <v>2.0000000000000002E-5</v>
      </c>
      <c r="H50" s="155">
        <f t="shared" si="12"/>
        <v>1E-4</v>
      </c>
      <c r="I50" s="155">
        <f t="shared" si="12"/>
        <v>6.9999999999999994E-5</v>
      </c>
      <c r="J50" s="155">
        <f t="shared" si="12"/>
        <v>1E-4</v>
      </c>
      <c r="K50" s="155">
        <f t="shared" si="12"/>
        <v>2.0000000000000002E-5</v>
      </c>
    </row>
    <row r="51" spans="2:11" s="132" customFormat="1" ht="20.100000000000001" customHeight="1" x14ac:dyDescent="0.25">
      <c r="B51" s="197"/>
      <c r="D51" s="256" t="s">
        <v>404</v>
      </c>
      <c r="E51" s="257" t="s">
        <v>405</v>
      </c>
      <c r="F51" s="155">
        <f>F22+F30</f>
        <v>9.9999999999999995E-8</v>
      </c>
      <c r="G51" s="155">
        <f t="shared" ref="G51:K51" si="13">G22+G30</f>
        <v>2.9999999999999997E-8</v>
      </c>
      <c r="H51" s="155">
        <f t="shared" si="13"/>
        <v>1.9999999999999999E-7</v>
      </c>
      <c r="I51" s="155">
        <f t="shared" si="13"/>
        <v>9.9999999999999995E-8</v>
      </c>
      <c r="J51" s="155">
        <f t="shared" si="13"/>
        <v>9.9999999999999995E-8</v>
      </c>
      <c r="K51" s="155">
        <f t="shared" si="13"/>
        <v>2.9999999999999997E-8</v>
      </c>
    </row>
    <row r="52" spans="2:11" s="132" customFormat="1" ht="20.100000000000001" customHeight="1" x14ac:dyDescent="0.25">
      <c r="B52" s="197"/>
      <c r="D52" s="258" t="s">
        <v>117</v>
      </c>
      <c r="E52" s="259" t="s">
        <v>118</v>
      </c>
      <c r="F52" s="155">
        <f t="shared" ref="F52:K52" si="14">F21+F29</f>
        <v>1.2999999999999999E-3</v>
      </c>
      <c r="G52" s="155">
        <f t="shared" si="14"/>
        <v>2.9999999999999997E-4</v>
      </c>
      <c r="H52" s="155">
        <f t="shared" si="14"/>
        <v>2.0999999999999999E-3</v>
      </c>
      <c r="I52" s="155">
        <f t="shared" si="14"/>
        <v>1.49E-3</v>
      </c>
      <c r="J52" s="155">
        <f t="shared" si="14"/>
        <v>1.2999999999999999E-3</v>
      </c>
      <c r="K52" s="155">
        <f t="shared" si="14"/>
        <v>2.9999999999999997E-4</v>
      </c>
    </row>
    <row r="53" spans="2:11" s="132" customFormat="1" ht="20.100000000000001" customHeight="1" x14ac:dyDescent="0.25">
      <c r="B53" s="197"/>
      <c r="D53" s="254" t="s">
        <v>138</v>
      </c>
      <c r="E53" s="255">
        <v>2754</v>
      </c>
      <c r="F53" s="155">
        <f t="shared" ref="F53:K53" si="15">F13+F18+F26</f>
        <v>3.6299999999999999E-2</v>
      </c>
      <c r="G53" s="155">
        <f t="shared" si="15"/>
        <v>8.3599999999999994E-3</v>
      </c>
      <c r="H53" s="155">
        <f t="shared" si="15"/>
        <v>5.6300000000000003E-2</v>
      </c>
      <c r="I53" s="155">
        <f t="shared" si="15"/>
        <v>4.1350000000000005E-2</v>
      </c>
      <c r="J53" s="155">
        <f t="shared" si="15"/>
        <v>3.6299999999999999E-2</v>
      </c>
      <c r="K53" s="155">
        <f t="shared" si="15"/>
        <v>8.0599999999999995E-3</v>
      </c>
    </row>
    <row r="54" spans="2:11" ht="20.100000000000001" customHeight="1" x14ac:dyDescent="0.25">
      <c r="D54" s="248" t="s">
        <v>73</v>
      </c>
      <c r="E54" s="249" t="s">
        <v>74</v>
      </c>
      <c r="F54" s="196">
        <f t="shared" ref="F54:K54" si="16">F4+F5+F11</f>
        <v>0.32469999999999993</v>
      </c>
      <c r="G54" s="196">
        <f t="shared" si="16"/>
        <v>0.26070999999999994</v>
      </c>
      <c r="H54" s="196">
        <f t="shared" si="16"/>
        <v>0.34169999999999995</v>
      </c>
      <c r="I54" s="196">
        <f t="shared" si="16"/>
        <v>0.78322999999999987</v>
      </c>
      <c r="J54" s="196">
        <f t="shared" si="16"/>
        <v>0.24619999999999997</v>
      </c>
      <c r="K54" s="196">
        <f t="shared" si="16"/>
        <v>0.26340999999999998</v>
      </c>
    </row>
    <row r="55" spans="2:11" s="132" customFormat="1" ht="20.100000000000001" customHeight="1" x14ac:dyDescent="0.25">
      <c r="B55" s="197"/>
      <c r="D55" s="582" t="s">
        <v>333</v>
      </c>
      <c r="E55" s="583"/>
      <c r="F55" s="215">
        <f t="shared" ref="F55:K55" si="17">SUM(F41:F54)</f>
        <v>0.5183800999999999</v>
      </c>
      <c r="G55" s="215">
        <f t="shared" si="17"/>
        <v>0.30842202999999996</v>
      </c>
      <c r="H55" s="215">
        <f t="shared" si="17"/>
        <v>0.65949020000000003</v>
      </c>
      <c r="I55" s="215">
        <f t="shared" si="17"/>
        <v>1.0197210999999999</v>
      </c>
      <c r="J55" s="215">
        <f t="shared" si="17"/>
        <v>0.4398801</v>
      </c>
      <c r="K55" s="215">
        <f t="shared" si="17"/>
        <v>0.31082202999999997</v>
      </c>
    </row>
    <row r="56" spans="2:11" x14ac:dyDescent="0.25">
      <c r="D56" s="131"/>
      <c r="E56" s="216"/>
      <c r="F56" s="262">
        <f t="shared" ref="F56:K56" si="18">F31-F55</f>
        <v>0</v>
      </c>
      <c r="G56" s="262">
        <f t="shared" si="18"/>
        <v>0</v>
      </c>
      <c r="H56" s="240">
        <f t="shared" si="18"/>
        <v>0</v>
      </c>
      <c r="I56" s="240">
        <f t="shared" si="18"/>
        <v>0</v>
      </c>
      <c r="J56" s="262">
        <f t="shared" si="18"/>
        <v>0</v>
      </c>
      <c r="K56" s="262">
        <f t="shared" si="18"/>
        <v>0</v>
      </c>
    </row>
    <row r="59" spans="2:11" s="237" customFormat="1" ht="12.75" x14ac:dyDescent="0.2">
      <c r="B59" s="232"/>
      <c r="D59" s="234"/>
      <c r="E59" s="233"/>
      <c r="F59" s="235"/>
      <c r="G59" s="235"/>
      <c r="H59" s="236"/>
      <c r="I59" s="236"/>
      <c r="J59" s="265"/>
      <c r="K59" s="265"/>
    </row>
    <row r="60" spans="2:11" s="225" customFormat="1" ht="20.25" x14ac:dyDescent="0.3">
      <c r="B60" s="141" t="s">
        <v>334</v>
      </c>
      <c r="C60" s="141"/>
      <c r="D60" s="141"/>
      <c r="E60" s="141"/>
      <c r="F60" s="141"/>
      <c r="G60" s="141"/>
      <c r="J60" s="141"/>
      <c r="K60" s="141"/>
    </row>
    <row r="61" spans="2:11" s="227" customFormat="1" ht="19.5" customHeight="1" x14ac:dyDescent="0.25">
      <c r="B61" s="145"/>
      <c r="C61" s="19"/>
      <c r="D61" s="146"/>
      <c r="E61" s="147"/>
      <c r="F61" s="515" t="s">
        <v>17</v>
      </c>
      <c r="G61" s="515"/>
      <c r="H61" s="571" t="s">
        <v>21</v>
      </c>
      <c r="I61" s="571"/>
      <c r="J61" s="515" t="s">
        <v>22</v>
      </c>
      <c r="K61" s="515"/>
    </row>
    <row r="62" spans="2:11" s="226" customFormat="1" ht="33" customHeight="1" x14ac:dyDescent="0.25">
      <c r="B62" s="145"/>
      <c r="C62" s="148" t="s">
        <v>327</v>
      </c>
      <c r="D62" s="149" t="s">
        <v>328</v>
      </c>
      <c r="E62" s="148" t="s">
        <v>329</v>
      </c>
      <c r="F62" s="148" t="s">
        <v>70</v>
      </c>
      <c r="G62" s="148" t="s">
        <v>69</v>
      </c>
      <c r="H62" s="271" t="s">
        <v>70</v>
      </c>
      <c r="I62" s="271" t="s">
        <v>69</v>
      </c>
      <c r="J62" s="148" t="s">
        <v>70</v>
      </c>
      <c r="K62" s="148" t="s">
        <v>69</v>
      </c>
    </row>
    <row r="63" spans="2:11" ht="16.5" customHeight="1" x14ac:dyDescent="0.25">
      <c r="B63" s="579" t="s">
        <v>208</v>
      </c>
      <c r="C63" s="181">
        <v>9005</v>
      </c>
      <c r="D63" s="160" t="str">
        <f>'3.8автотранспорт'!AC146</f>
        <v>Азота диоксид</v>
      </c>
      <c r="E63" s="160" t="str">
        <f>'3.8автотранспорт'!AD146</f>
        <v>0301</v>
      </c>
      <c r="F63" s="159">
        <f>'3.8автотранспорт'!AE146</f>
        <v>0.12720000000000001</v>
      </c>
      <c r="G63" s="159">
        <f>'3.8автотранспорт'!AF146</f>
        <v>2.6838999999999995</v>
      </c>
      <c r="H63" s="272">
        <f>'3.8автотранспорт'!AE249</f>
        <v>0.12720000000000001</v>
      </c>
      <c r="I63" s="272">
        <f>'3.8автотранспорт'!AF249</f>
        <v>10.1594</v>
      </c>
      <c r="J63" s="159">
        <f>'3.8автотранспорт'!AE322</f>
        <v>0.12720000000000001</v>
      </c>
      <c r="K63" s="159">
        <f>'3.8автотранспорт'!AF322</f>
        <v>1.2105000000000001</v>
      </c>
    </row>
    <row r="64" spans="2:11" x14ac:dyDescent="0.25">
      <c r="B64" s="580"/>
      <c r="C64" s="184"/>
      <c r="D64" s="167" t="str">
        <f>'3.8автотранспорт'!AC147</f>
        <v>Азота оксид</v>
      </c>
      <c r="E64" s="167" t="str">
        <f>'3.8автотранспорт'!AD147</f>
        <v>0304</v>
      </c>
      <c r="F64" s="182">
        <f>'3.8автотранспорт'!AE147</f>
        <v>2.07E-2</v>
      </c>
      <c r="G64" s="182">
        <f>'3.8автотранспорт'!AF147</f>
        <v>0.43619999999999998</v>
      </c>
      <c r="H64" s="185">
        <f>'3.8автотранспорт'!AE250</f>
        <v>2.07E-2</v>
      </c>
      <c r="I64" s="185">
        <f>'3.8автотранспорт'!AF250</f>
        <v>1.6508999999999998</v>
      </c>
      <c r="J64" s="182">
        <f>'3.8автотранспорт'!AE323</f>
        <v>2.07E-2</v>
      </c>
      <c r="K64" s="182">
        <f>'3.8автотранспорт'!AF323</f>
        <v>0.19670000000000001</v>
      </c>
    </row>
    <row r="65" spans="2:11" x14ac:dyDescent="0.25">
      <c r="B65" s="580"/>
      <c r="C65" s="184"/>
      <c r="D65" s="167" t="str">
        <f>'3.8автотранспорт'!AC148</f>
        <v>Серы диоксид</v>
      </c>
      <c r="E65" s="167" t="str">
        <f>'3.8автотранспорт'!AD148</f>
        <v>0330</v>
      </c>
      <c r="F65" s="182">
        <f>'3.8автотранспорт'!AE148</f>
        <v>1.4500000000000001E-2</v>
      </c>
      <c r="G65" s="182">
        <f>'3.8автотранспорт'!AF148</f>
        <v>0.37309999999999999</v>
      </c>
      <c r="H65" s="185">
        <f>'3.8автотранспорт'!AE251</f>
        <v>1.4500000000000001E-2</v>
      </c>
      <c r="I65" s="185">
        <f>'3.8автотранспорт'!AF251</f>
        <v>1.2927000000000002</v>
      </c>
      <c r="J65" s="182">
        <f>'3.8автотранспорт'!AE324</f>
        <v>1.4500000000000001E-2</v>
      </c>
      <c r="K65" s="182">
        <f>'3.8автотранспорт'!AF324</f>
        <v>0.17050000000000001</v>
      </c>
    </row>
    <row r="66" spans="2:11" x14ac:dyDescent="0.25">
      <c r="B66" s="580"/>
      <c r="C66" s="184"/>
      <c r="D66" s="167" t="str">
        <f>'3.8автотранспорт'!AC149</f>
        <v>Керосин</v>
      </c>
      <c r="E66" s="167" t="str">
        <f>'3.8автотранспорт'!AD149</f>
        <v>2732</v>
      </c>
      <c r="F66" s="182">
        <f>'3.8автотранспорт'!AE149</f>
        <v>3.32E-2</v>
      </c>
      <c r="G66" s="182">
        <f>'3.8автотранспорт'!AF149</f>
        <v>0.70499999999999996</v>
      </c>
      <c r="H66" s="185">
        <f>'3.8автотранспорт'!AE252</f>
        <v>3.32E-2</v>
      </c>
      <c r="I66" s="185">
        <f>'3.8автотранспорт'!AF252</f>
        <v>2.4261000000000008</v>
      </c>
      <c r="J66" s="182">
        <f>'3.8автотранспорт'!AE325</f>
        <v>3.32E-2</v>
      </c>
      <c r="K66" s="182">
        <f>'3.8автотранспорт'!AF325</f>
        <v>0.32519999999999999</v>
      </c>
    </row>
    <row r="67" spans="2:11" x14ac:dyDescent="0.25">
      <c r="B67" s="580"/>
      <c r="C67" s="166"/>
      <c r="D67" s="167" t="str">
        <f>'3.8автотранспорт'!AC150</f>
        <v xml:space="preserve">Углерод </v>
      </c>
      <c r="E67" s="167" t="str">
        <f>'3.8автотранспорт'!AD150</f>
        <v>0328</v>
      </c>
      <c r="F67" s="182">
        <f>'3.8автотранспорт'!AE150</f>
        <v>2.3800000000000002E-2</v>
      </c>
      <c r="G67" s="182">
        <f>'3.8автотранспорт'!AF150</f>
        <v>0.52819999999999989</v>
      </c>
      <c r="H67" s="185">
        <f>'3.8автотранспорт'!AE253</f>
        <v>2.3800000000000002E-2</v>
      </c>
      <c r="I67" s="185">
        <f>'3.8автотранспорт'!AF253</f>
        <v>1.6271999999999998</v>
      </c>
      <c r="J67" s="182">
        <f>'3.8автотранспорт'!AE326</f>
        <v>2.3800000000000002E-2</v>
      </c>
      <c r="K67" s="182">
        <f>'3.8автотранспорт'!AF326</f>
        <v>0.23849999999999999</v>
      </c>
    </row>
    <row r="68" spans="2:11" x14ac:dyDescent="0.25">
      <c r="B68" s="580"/>
      <c r="C68" s="173"/>
      <c r="D68" s="174" t="str">
        <f>'3.8автотранспорт'!AC151</f>
        <v>Углерода оксид</v>
      </c>
      <c r="E68" s="174" t="str">
        <f>'3.8автотранспорт'!AD151</f>
        <v>0337</v>
      </c>
      <c r="F68" s="266">
        <f>'3.8автотранспорт'!AE151</f>
        <v>0.12039999999999999</v>
      </c>
      <c r="G68" s="266">
        <f>'3.8автотранспорт'!AF151</f>
        <v>2.3398999999999996</v>
      </c>
      <c r="H68" s="190">
        <f>'3.8автотранспорт'!AE254</f>
        <v>0.12039999999999999</v>
      </c>
      <c r="I68" s="190">
        <f>'3.8автотранспорт'!AF254</f>
        <v>7.7208999999999994</v>
      </c>
      <c r="J68" s="266">
        <f>'3.8автотранспорт'!AE327</f>
        <v>0.12039999999999999</v>
      </c>
      <c r="K68" s="266">
        <f>'3.8автотранспорт'!AF327</f>
        <v>1.1301000000000001</v>
      </c>
    </row>
    <row r="69" spans="2:11" s="231" customFormat="1" ht="30.95" customHeight="1" thickBot="1" x14ac:dyDescent="0.3">
      <c r="B69" s="220"/>
      <c r="C69" s="267"/>
      <c r="D69" s="149" t="s">
        <v>331</v>
      </c>
      <c r="E69" s="196"/>
      <c r="F69" s="148">
        <f>SUM(F63:F68)</f>
        <v>0.33980000000000005</v>
      </c>
      <c r="G69" s="148">
        <f t="shared" ref="G69:K69" si="19">SUM(G63:G68)</f>
        <v>7.0662999999999982</v>
      </c>
      <c r="H69" s="148">
        <f t="shared" si="19"/>
        <v>0.33980000000000005</v>
      </c>
      <c r="I69" s="148">
        <f t="shared" si="19"/>
        <v>24.877199999999998</v>
      </c>
      <c r="J69" s="148">
        <f t="shared" si="19"/>
        <v>0.33980000000000005</v>
      </c>
      <c r="K69" s="148">
        <f t="shared" si="19"/>
        <v>3.2715000000000005</v>
      </c>
    </row>
    <row r="70" spans="2:11" s="222" customFormat="1" ht="15" x14ac:dyDescent="0.25">
      <c r="B70" s="221"/>
      <c r="D70" s="223"/>
      <c r="E70" s="217"/>
      <c r="F70" s="217">
        <f>'3.8автотранспорт'!AG151</f>
        <v>0.33980000000000005</v>
      </c>
      <c r="G70" s="217">
        <f>'3.8автотранспорт'!AH151</f>
        <v>7.0662999999999982</v>
      </c>
      <c r="H70" s="224">
        <f>'3.8автотранспорт'!AG254</f>
        <v>0.33980000000000005</v>
      </c>
      <c r="I70" s="224">
        <f>'3.8автотранспорт'!AH254</f>
        <v>24.877199999999998</v>
      </c>
      <c r="J70" s="217">
        <f>'3.8автотранспорт'!AG327</f>
        <v>0.33980000000000005</v>
      </c>
      <c r="K70" s="217">
        <f>'3.8автотранспорт'!AH327</f>
        <v>3.2715000000000005</v>
      </c>
    </row>
    <row r="71" spans="2:11" s="268" customFormat="1" x14ac:dyDescent="0.25">
      <c r="B71" s="269"/>
      <c r="D71" s="270"/>
      <c r="E71" s="264"/>
      <c r="F71" s="264">
        <f t="shared" ref="F71:K71" si="20">F69-F70</f>
        <v>0</v>
      </c>
      <c r="G71" s="264">
        <f t="shared" si="20"/>
        <v>0</v>
      </c>
      <c r="H71" s="264">
        <f t="shared" si="20"/>
        <v>0</v>
      </c>
      <c r="I71" s="264">
        <f t="shared" si="20"/>
        <v>0</v>
      </c>
      <c r="J71" s="264">
        <f t="shared" si="20"/>
        <v>0</v>
      </c>
      <c r="K71" s="264">
        <f t="shared" si="20"/>
        <v>0</v>
      </c>
    </row>
    <row r="72" spans="2:11" s="268" customFormat="1" x14ac:dyDescent="0.25">
      <c r="B72" s="269"/>
      <c r="D72" s="270"/>
      <c r="E72" s="264"/>
      <c r="F72" s="264">
        <f t="shared" ref="F72" si="21">F55+F69</f>
        <v>0.8581801</v>
      </c>
      <c r="G72" s="264">
        <f>G55+G69</f>
        <v>7.3747220299999983</v>
      </c>
      <c r="H72" s="264">
        <f t="shared" ref="H72:K72" si="22">H55+H69</f>
        <v>0.99929020000000013</v>
      </c>
      <c r="I72" s="264">
        <f t="shared" si="22"/>
        <v>25.8969211</v>
      </c>
      <c r="J72" s="264">
        <f t="shared" si="22"/>
        <v>0.77968009999999999</v>
      </c>
      <c r="K72" s="264">
        <f t="shared" si="22"/>
        <v>3.5823220300000003</v>
      </c>
    </row>
    <row r="75" spans="2:11" s="95" customFormat="1" ht="20.25" x14ac:dyDescent="0.2">
      <c r="B75" s="581" t="s">
        <v>382</v>
      </c>
      <c r="C75" s="581"/>
      <c r="D75" s="581"/>
      <c r="E75" s="581"/>
      <c r="F75" s="581"/>
      <c r="G75" s="247"/>
      <c r="H75" s="265"/>
      <c r="I75" s="265"/>
      <c r="J75" s="265"/>
      <c r="K75" s="265"/>
    </row>
    <row r="76" spans="2:11" s="132" customFormat="1" ht="20.100000000000001" customHeight="1" x14ac:dyDescent="0.25">
      <c r="B76" s="197"/>
      <c r="F76" s="573" t="s">
        <v>332</v>
      </c>
      <c r="G76" s="573"/>
      <c r="H76" s="573" t="s">
        <v>332</v>
      </c>
      <c r="I76" s="573"/>
      <c r="J76" s="573" t="s">
        <v>332</v>
      </c>
      <c r="K76" s="573"/>
    </row>
    <row r="77" spans="2:11" s="19" customFormat="1" ht="19.5" customHeight="1" x14ac:dyDescent="0.25">
      <c r="B77" s="145"/>
      <c r="D77" s="584" t="s">
        <v>13</v>
      </c>
      <c r="E77" s="584" t="s">
        <v>329</v>
      </c>
      <c r="F77" s="586" t="s">
        <v>17</v>
      </c>
      <c r="G77" s="586"/>
      <c r="H77" s="586" t="s">
        <v>21</v>
      </c>
      <c r="I77" s="586"/>
      <c r="J77" s="586" t="s">
        <v>22</v>
      </c>
      <c r="K77" s="586"/>
    </row>
    <row r="78" spans="2:11" s="132" customFormat="1" ht="20.100000000000001" customHeight="1" x14ac:dyDescent="0.25">
      <c r="B78" s="197"/>
      <c r="D78" s="585"/>
      <c r="E78" s="585"/>
      <c r="F78" s="337" t="s">
        <v>70</v>
      </c>
      <c r="G78" s="337" t="s">
        <v>69</v>
      </c>
      <c r="H78" s="337" t="s">
        <v>70</v>
      </c>
      <c r="I78" s="337" t="s">
        <v>69</v>
      </c>
      <c r="J78" s="337" t="s">
        <v>70</v>
      </c>
      <c r="K78" s="337" t="s">
        <v>69</v>
      </c>
    </row>
    <row r="79" spans="2:11" s="132" customFormat="1" ht="20.100000000000001" customHeight="1" x14ac:dyDescent="0.25">
      <c r="B79" s="197"/>
      <c r="D79" s="338">
        <v>1</v>
      </c>
      <c r="E79" s="338">
        <v>2</v>
      </c>
      <c r="F79" s="338">
        <v>3</v>
      </c>
      <c r="G79" s="338">
        <v>4</v>
      </c>
      <c r="H79" s="338">
        <v>5</v>
      </c>
      <c r="I79" s="338">
        <v>6</v>
      </c>
      <c r="J79" s="338">
        <v>7</v>
      </c>
      <c r="K79" s="338">
        <v>8</v>
      </c>
    </row>
    <row r="80" spans="2:11" s="132" customFormat="1" ht="20.100000000000001" customHeight="1" x14ac:dyDescent="0.25">
      <c r="B80" s="197"/>
      <c r="D80" s="339" t="s">
        <v>100</v>
      </c>
      <c r="E80" s="340" t="s">
        <v>101</v>
      </c>
      <c r="F80" s="338">
        <f t="shared" ref="F80:K81" si="23">F41</f>
        <v>4.0000000000000002E-4</v>
      </c>
      <c r="G80" s="338">
        <f t="shared" si="23"/>
        <v>1E-4</v>
      </c>
      <c r="H80" s="338">
        <f t="shared" si="23"/>
        <v>5.0000000000000001E-4</v>
      </c>
      <c r="I80" s="338">
        <f t="shared" si="23"/>
        <v>2.0000000000000001E-4</v>
      </c>
      <c r="J80" s="338">
        <f t="shared" si="23"/>
        <v>4.0000000000000002E-4</v>
      </c>
      <c r="K80" s="338">
        <f t="shared" si="23"/>
        <v>1E-4</v>
      </c>
    </row>
    <row r="81" spans="2:11" s="132" customFormat="1" ht="20.100000000000001" customHeight="1" x14ac:dyDescent="0.25">
      <c r="B81" s="197"/>
      <c r="D81" s="339" t="s">
        <v>96</v>
      </c>
      <c r="E81" s="340" t="s">
        <v>97</v>
      </c>
      <c r="F81" s="338">
        <f t="shared" si="23"/>
        <v>3.0000000000000001E-5</v>
      </c>
      <c r="G81" s="338">
        <f t="shared" si="23"/>
        <v>1.0000000000000001E-5</v>
      </c>
      <c r="H81" s="338">
        <f t="shared" si="23"/>
        <v>4.0000000000000003E-5</v>
      </c>
      <c r="I81" s="338">
        <f t="shared" si="23"/>
        <v>2.0000000000000002E-5</v>
      </c>
      <c r="J81" s="338">
        <f t="shared" si="23"/>
        <v>3.0000000000000001E-5</v>
      </c>
      <c r="K81" s="338">
        <f t="shared" si="23"/>
        <v>1.0000000000000001E-5</v>
      </c>
    </row>
    <row r="82" spans="2:11" s="132" customFormat="1" ht="20.100000000000001" customHeight="1" x14ac:dyDescent="0.25">
      <c r="B82" s="197"/>
      <c r="D82" s="339" t="s">
        <v>94</v>
      </c>
      <c r="E82" s="340" t="s">
        <v>95</v>
      </c>
      <c r="F82" s="338">
        <f t="shared" ref="F82:K83" si="24">F43+F63</f>
        <v>0.19600000000000001</v>
      </c>
      <c r="G82" s="338">
        <f t="shared" si="24"/>
        <v>2.7011099999999995</v>
      </c>
      <c r="H82" s="338">
        <f t="shared" si="24"/>
        <v>0.24170000000000003</v>
      </c>
      <c r="I82" s="338">
        <f t="shared" si="24"/>
        <v>10.24513</v>
      </c>
      <c r="J82" s="338">
        <f t="shared" si="24"/>
        <v>0.19600000000000001</v>
      </c>
      <c r="K82" s="338">
        <f t="shared" si="24"/>
        <v>1.2277100000000001</v>
      </c>
    </row>
    <row r="83" spans="2:11" s="132" customFormat="1" ht="20.100000000000001" customHeight="1" x14ac:dyDescent="0.25">
      <c r="B83" s="197"/>
      <c r="D83" s="341" t="s">
        <v>112</v>
      </c>
      <c r="E83" s="342" t="s">
        <v>113</v>
      </c>
      <c r="F83" s="338">
        <f t="shared" si="24"/>
        <v>3.1899999999999998E-2</v>
      </c>
      <c r="G83" s="338">
        <f t="shared" si="24"/>
        <v>0.439</v>
      </c>
      <c r="H83" s="338">
        <f t="shared" si="24"/>
        <v>3.9300000000000002E-2</v>
      </c>
      <c r="I83" s="338">
        <f t="shared" si="24"/>
        <v>1.6647999999999998</v>
      </c>
      <c r="J83" s="338">
        <f t="shared" si="24"/>
        <v>3.1899999999999998E-2</v>
      </c>
      <c r="K83" s="338">
        <f t="shared" si="24"/>
        <v>0.19950000000000001</v>
      </c>
    </row>
    <row r="84" spans="2:11" s="132" customFormat="1" ht="20.100000000000001" customHeight="1" x14ac:dyDescent="0.25">
      <c r="B84" s="197"/>
      <c r="D84" s="341" t="s">
        <v>170</v>
      </c>
      <c r="E84" s="342" t="s">
        <v>119</v>
      </c>
      <c r="F84" s="338">
        <f t="shared" ref="F84:K84" si="25">F45+F67</f>
        <v>2.9600000000000001E-2</v>
      </c>
      <c r="G84" s="338">
        <f t="shared" si="25"/>
        <v>0.52969999999999984</v>
      </c>
      <c r="H84" s="338">
        <f t="shared" si="25"/>
        <v>3.3500000000000002E-2</v>
      </c>
      <c r="I84" s="338">
        <f t="shared" si="25"/>
        <v>1.6346999999999998</v>
      </c>
      <c r="J84" s="338">
        <f t="shared" si="25"/>
        <v>2.9600000000000001E-2</v>
      </c>
      <c r="K84" s="338">
        <f t="shared" si="25"/>
        <v>0.24</v>
      </c>
    </row>
    <row r="85" spans="2:11" s="132" customFormat="1" ht="20.100000000000001" customHeight="1" x14ac:dyDescent="0.25">
      <c r="B85" s="197"/>
      <c r="D85" s="341" t="s">
        <v>167</v>
      </c>
      <c r="E85" s="342" t="s">
        <v>115</v>
      </c>
      <c r="F85" s="338">
        <f t="shared" ref="F85:K85" si="26">F46+F65</f>
        <v>2.3699999999999999E-2</v>
      </c>
      <c r="G85" s="338">
        <f t="shared" si="26"/>
        <v>0.37540000000000001</v>
      </c>
      <c r="H85" s="338">
        <f t="shared" si="26"/>
        <v>2.98E-2</v>
      </c>
      <c r="I85" s="338">
        <f t="shared" si="26"/>
        <v>1.3039000000000003</v>
      </c>
      <c r="J85" s="338">
        <f t="shared" si="26"/>
        <v>2.3699999999999999E-2</v>
      </c>
      <c r="K85" s="338">
        <f t="shared" si="26"/>
        <v>0.17280000000000001</v>
      </c>
    </row>
    <row r="86" spans="2:11" s="132" customFormat="1" ht="20.100000000000001" customHeight="1" x14ac:dyDescent="0.25">
      <c r="B86" s="197"/>
      <c r="D86" s="343" t="s">
        <v>140</v>
      </c>
      <c r="E86" s="344" t="s">
        <v>141</v>
      </c>
      <c r="F86" s="338">
        <f t="shared" ref="F86:K86" si="27">F47</f>
        <v>2.0000000000000002E-5</v>
      </c>
      <c r="G86" s="338">
        <f t="shared" si="27"/>
        <v>1.9999999999999999E-6</v>
      </c>
      <c r="H86" s="338">
        <f t="shared" si="27"/>
        <v>2.0000000000000002E-5</v>
      </c>
      <c r="I86" s="338">
        <f t="shared" si="27"/>
        <v>1.1E-5</v>
      </c>
      <c r="J86" s="338">
        <f t="shared" si="27"/>
        <v>2.0000000000000002E-5</v>
      </c>
      <c r="K86" s="338">
        <f t="shared" si="27"/>
        <v>1.9999999999999999E-6</v>
      </c>
    </row>
    <row r="87" spans="2:11" s="132" customFormat="1" ht="20.100000000000001" customHeight="1" x14ac:dyDescent="0.25">
      <c r="B87" s="197"/>
      <c r="D87" s="339" t="s">
        <v>103</v>
      </c>
      <c r="E87" s="340" t="s">
        <v>104</v>
      </c>
      <c r="F87" s="338">
        <f t="shared" ref="F87:K87" si="28">F48+F68</f>
        <v>0.18090000000000001</v>
      </c>
      <c r="G87" s="338">
        <f t="shared" si="28"/>
        <v>2.3549999999999995</v>
      </c>
      <c r="H87" s="338">
        <f t="shared" si="28"/>
        <v>0.221</v>
      </c>
      <c r="I87" s="338">
        <f t="shared" si="28"/>
        <v>7.7958999999999996</v>
      </c>
      <c r="J87" s="338">
        <f t="shared" si="28"/>
        <v>0.18090000000000001</v>
      </c>
      <c r="K87" s="338">
        <f t="shared" si="28"/>
        <v>1.1452</v>
      </c>
    </row>
    <row r="88" spans="2:11" s="132" customFormat="1" ht="20.100000000000001" customHeight="1" x14ac:dyDescent="0.25">
      <c r="B88" s="197"/>
      <c r="D88" s="339" t="s">
        <v>91</v>
      </c>
      <c r="E88" s="340" t="s">
        <v>92</v>
      </c>
      <c r="F88" s="338">
        <f t="shared" ref="F88:K90" si="29">F49</f>
        <v>3.0000000000000001E-5</v>
      </c>
      <c r="G88" s="338">
        <f t="shared" si="29"/>
        <v>1.0000000000000001E-5</v>
      </c>
      <c r="H88" s="338">
        <f t="shared" si="29"/>
        <v>3.0000000000000001E-5</v>
      </c>
      <c r="I88" s="338">
        <f t="shared" si="29"/>
        <v>2.0000000000000002E-5</v>
      </c>
      <c r="J88" s="338">
        <f t="shared" si="29"/>
        <v>3.0000000000000001E-5</v>
      </c>
      <c r="K88" s="338">
        <f t="shared" si="29"/>
        <v>1.0000000000000001E-5</v>
      </c>
    </row>
    <row r="89" spans="2:11" s="132" customFormat="1" ht="20.100000000000001" customHeight="1" x14ac:dyDescent="0.25">
      <c r="B89" s="197"/>
      <c r="D89" s="339" t="s">
        <v>98</v>
      </c>
      <c r="E89" s="340" t="s">
        <v>99</v>
      </c>
      <c r="F89" s="338">
        <f t="shared" si="29"/>
        <v>1E-4</v>
      </c>
      <c r="G89" s="338">
        <f t="shared" si="29"/>
        <v>2.0000000000000002E-5</v>
      </c>
      <c r="H89" s="338">
        <f t="shared" si="29"/>
        <v>1E-4</v>
      </c>
      <c r="I89" s="338">
        <f t="shared" si="29"/>
        <v>6.9999999999999994E-5</v>
      </c>
      <c r="J89" s="338">
        <f t="shared" si="29"/>
        <v>1E-4</v>
      </c>
      <c r="K89" s="338">
        <f t="shared" si="29"/>
        <v>2.0000000000000002E-5</v>
      </c>
    </row>
    <row r="90" spans="2:11" s="132" customFormat="1" ht="20.100000000000001" customHeight="1" x14ac:dyDescent="0.25">
      <c r="B90" s="197"/>
      <c r="D90" s="345" t="s">
        <v>404</v>
      </c>
      <c r="E90" s="346" t="s">
        <v>405</v>
      </c>
      <c r="F90" s="338">
        <f t="shared" si="29"/>
        <v>9.9999999999999995E-8</v>
      </c>
      <c r="G90" s="338">
        <f t="shared" si="29"/>
        <v>2.9999999999999997E-8</v>
      </c>
      <c r="H90" s="338">
        <f t="shared" si="29"/>
        <v>1.9999999999999999E-7</v>
      </c>
      <c r="I90" s="338">
        <f t="shared" si="29"/>
        <v>9.9999999999999995E-8</v>
      </c>
      <c r="J90" s="338">
        <f t="shared" si="29"/>
        <v>9.9999999999999995E-8</v>
      </c>
      <c r="K90" s="338">
        <f t="shared" si="29"/>
        <v>2.9999999999999997E-8</v>
      </c>
    </row>
    <row r="91" spans="2:11" s="132" customFormat="1" ht="20.100000000000001" customHeight="1" x14ac:dyDescent="0.25">
      <c r="B91" s="197"/>
      <c r="D91" s="347" t="s">
        <v>117</v>
      </c>
      <c r="E91" s="348" t="s">
        <v>118</v>
      </c>
      <c r="F91" s="338">
        <f t="shared" ref="F91" si="30">F52</f>
        <v>1.2999999999999999E-3</v>
      </c>
      <c r="G91" s="338">
        <f t="shared" ref="G91:K91" si="31">G52</f>
        <v>2.9999999999999997E-4</v>
      </c>
      <c r="H91" s="338">
        <f t="shared" si="31"/>
        <v>2.0999999999999999E-3</v>
      </c>
      <c r="I91" s="338">
        <f t="shared" si="31"/>
        <v>1.49E-3</v>
      </c>
      <c r="J91" s="338">
        <f t="shared" si="31"/>
        <v>1.2999999999999999E-3</v>
      </c>
      <c r="K91" s="338">
        <f t="shared" si="31"/>
        <v>2.9999999999999997E-4</v>
      </c>
    </row>
    <row r="92" spans="2:11" s="132" customFormat="1" ht="20.100000000000001" customHeight="1" x14ac:dyDescent="0.25">
      <c r="B92" s="197"/>
      <c r="D92" s="349" t="s">
        <v>168</v>
      </c>
      <c r="E92" s="349" t="s">
        <v>169</v>
      </c>
      <c r="F92" s="338">
        <f t="shared" ref="F92:K92" si="32">F66</f>
        <v>3.32E-2</v>
      </c>
      <c r="G92" s="338">
        <f t="shared" si="32"/>
        <v>0.70499999999999996</v>
      </c>
      <c r="H92" s="338">
        <f t="shared" si="32"/>
        <v>3.32E-2</v>
      </c>
      <c r="I92" s="338">
        <f t="shared" si="32"/>
        <v>2.4261000000000008</v>
      </c>
      <c r="J92" s="338">
        <f t="shared" si="32"/>
        <v>3.32E-2</v>
      </c>
      <c r="K92" s="338">
        <f t="shared" si="32"/>
        <v>0.32519999999999999</v>
      </c>
    </row>
    <row r="93" spans="2:11" s="132" customFormat="1" ht="20.100000000000001" customHeight="1" x14ac:dyDescent="0.25">
      <c r="B93" s="197"/>
      <c r="D93" s="350" t="s">
        <v>138</v>
      </c>
      <c r="E93" s="351">
        <v>2754</v>
      </c>
      <c r="F93" s="338">
        <f t="shared" ref="F93" si="33">F53</f>
        <v>3.6299999999999999E-2</v>
      </c>
      <c r="G93" s="338">
        <f t="shared" ref="G93:K93" si="34">G53</f>
        <v>8.3599999999999994E-3</v>
      </c>
      <c r="H93" s="338">
        <f t="shared" si="34"/>
        <v>5.6300000000000003E-2</v>
      </c>
      <c r="I93" s="338">
        <f t="shared" si="34"/>
        <v>4.1350000000000005E-2</v>
      </c>
      <c r="J93" s="338">
        <f t="shared" si="34"/>
        <v>3.6299999999999999E-2</v>
      </c>
      <c r="K93" s="338">
        <f t="shared" si="34"/>
        <v>8.0599999999999995E-3</v>
      </c>
    </row>
    <row r="94" spans="2:11" ht="20.100000000000001" customHeight="1" x14ac:dyDescent="0.25">
      <c r="D94" s="352" t="s">
        <v>73</v>
      </c>
      <c r="E94" s="353" t="s">
        <v>74</v>
      </c>
      <c r="F94" s="338">
        <f t="shared" ref="F94" si="35">F54</f>
        <v>0.32469999999999993</v>
      </c>
      <c r="G94" s="338">
        <f t="shared" ref="G94:K94" si="36">G54</f>
        <v>0.26070999999999994</v>
      </c>
      <c r="H94" s="338">
        <f t="shared" si="36"/>
        <v>0.34169999999999995</v>
      </c>
      <c r="I94" s="338">
        <f t="shared" si="36"/>
        <v>0.78322999999999987</v>
      </c>
      <c r="J94" s="338">
        <f t="shared" si="36"/>
        <v>0.24619999999999997</v>
      </c>
      <c r="K94" s="338">
        <f t="shared" si="36"/>
        <v>0.26340999999999998</v>
      </c>
    </row>
    <row r="95" spans="2:11" s="132" customFormat="1" ht="20.100000000000001" customHeight="1" x14ac:dyDescent="0.25">
      <c r="B95" s="197"/>
      <c r="D95" s="582" t="s">
        <v>333</v>
      </c>
      <c r="E95" s="583"/>
      <c r="F95" s="215">
        <f t="shared" ref="F95:J95" si="37">SUM(F80:F94)</f>
        <v>0.8581801</v>
      </c>
      <c r="G95" s="215">
        <f t="shared" si="37"/>
        <v>7.3747220299999983</v>
      </c>
      <c r="H95" s="215">
        <f t="shared" si="37"/>
        <v>0.99929019999999991</v>
      </c>
      <c r="I95" s="215">
        <f t="shared" si="37"/>
        <v>25.896921100000004</v>
      </c>
      <c r="J95" s="215">
        <f t="shared" si="37"/>
        <v>0.77968009999999999</v>
      </c>
      <c r="K95" s="215">
        <f>SUM(K80:K94)</f>
        <v>3.5823220300000003</v>
      </c>
    </row>
    <row r="96" spans="2:11" x14ac:dyDescent="0.25">
      <c r="D96" s="131"/>
      <c r="E96" s="216"/>
      <c r="F96" s="262"/>
      <c r="G96" s="262"/>
      <c r="H96" s="240"/>
      <c r="I96" s="240"/>
      <c r="J96" s="262"/>
      <c r="K96" s="262"/>
    </row>
    <row r="100" ht="15.75" customHeight="1" x14ac:dyDescent="0.25"/>
  </sheetData>
  <mergeCells count="31">
    <mergeCell ref="D95:E95"/>
    <mergeCell ref="B75:F75"/>
    <mergeCell ref="F76:G76"/>
    <mergeCell ref="H76:I76"/>
    <mergeCell ref="J76:K76"/>
    <mergeCell ref="D77:D78"/>
    <mergeCell ref="E77:E78"/>
    <mergeCell ref="F77:G77"/>
    <mergeCell ref="H77:I77"/>
    <mergeCell ref="J77:K77"/>
    <mergeCell ref="B63:B68"/>
    <mergeCell ref="B36:F36"/>
    <mergeCell ref="D55:E55"/>
    <mergeCell ref="F61:G61"/>
    <mergeCell ref="H61:I61"/>
    <mergeCell ref="J61:K61"/>
    <mergeCell ref="D38:D39"/>
    <mergeCell ref="E38:E39"/>
    <mergeCell ref="F38:G38"/>
    <mergeCell ref="H38:I38"/>
    <mergeCell ref="J38:K38"/>
    <mergeCell ref="B23:B30"/>
    <mergeCell ref="F37:G37"/>
    <mergeCell ref="H37:I37"/>
    <mergeCell ref="J37:K37"/>
    <mergeCell ref="B15:B22"/>
    <mergeCell ref="B4:B12"/>
    <mergeCell ref="B13:B14"/>
    <mergeCell ref="F2:G2"/>
    <mergeCell ref="H2:I2"/>
    <mergeCell ref="J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7A102-BEEB-4EF6-A42C-A091C420A7A6}">
  <dimension ref="A1:J10"/>
  <sheetViews>
    <sheetView view="pageBreakPreview" zoomScaleNormal="100" zoomScaleSheetLayoutView="100" workbookViewId="0">
      <selection activeCell="J11" sqref="J11"/>
    </sheetView>
  </sheetViews>
  <sheetFormatPr defaultRowHeight="15.75" x14ac:dyDescent="0.25"/>
  <cols>
    <col min="1" max="1" width="6.42578125" style="279" customWidth="1"/>
    <col min="2" max="8" width="9.140625" style="230"/>
    <col min="9" max="9" width="13.85546875" style="230" customWidth="1"/>
    <col min="10" max="10" width="5.140625" style="239" customWidth="1"/>
    <col min="11" max="16384" width="9.140625" style="230"/>
  </cols>
  <sheetData>
    <row r="1" spans="1:10" s="132" customFormat="1" x14ac:dyDescent="0.25">
      <c r="A1" s="407" t="s">
        <v>351</v>
      </c>
      <c r="B1" s="407"/>
      <c r="C1" s="407"/>
      <c r="D1" s="407"/>
      <c r="E1" s="407"/>
      <c r="F1" s="407"/>
      <c r="G1" s="407"/>
      <c r="H1" s="407"/>
      <c r="I1" s="407"/>
      <c r="J1" s="216"/>
    </row>
    <row r="2" spans="1:10" s="132" customFormat="1" x14ac:dyDescent="0.25">
      <c r="A2" s="278"/>
      <c r="J2" s="216" t="s">
        <v>352</v>
      </c>
    </row>
    <row r="3" spans="1:10" s="132" customFormat="1" x14ac:dyDescent="0.25">
      <c r="A3" s="278" t="s">
        <v>362</v>
      </c>
      <c r="B3" s="408" t="s">
        <v>353</v>
      </c>
      <c r="C3" s="408"/>
      <c r="D3" s="408"/>
      <c r="E3" s="408"/>
      <c r="F3" s="408"/>
      <c r="G3" s="408"/>
      <c r="H3" s="408"/>
      <c r="I3" s="408"/>
      <c r="J3" s="216">
        <v>239</v>
      </c>
    </row>
    <row r="4" spans="1:10" s="132" customFormat="1" x14ac:dyDescent="0.25">
      <c r="A4" s="278" t="s">
        <v>363</v>
      </c>
      <c r="B4" s="409" t="s">
        <v>354</v>
      </c>
      <c r="C4" s="409"/>
      <c r="D4" s="409"/>
      <c r="E4" s="409"/>
      <c r="F4" s="409"/>
      <c r="G4" s="409"/>
      <c r="H4" s="409"/>
      <c r="I4" s="409"/>
      <c r="J4" s="216">
        <v>241</v>
      </c>
    </row>
    <row r="5" spans="1:10" s="132" customFormat="1" x14ac:dyDescent="0.25">
      <c r="A5" s="278" t="s">
        <v>364</v>
      </c>
      <c r="B5" s="406" t="s">
        <v>355</v>
      </c>
      <c r="C5" s="406"/>
      <c r="D5" s="406"/>
      <c r="E5" s="406"/>
      <c r="F5" s="406"/>
      <c r="G5" s="406"/>
      <c r="H5" s="406"/>
      <c r="I5" s="406"/>
      <c r="J5" s="216">
        <v>243</v>
      </c>
    </row>
    <row r="6" spans="1:10" s="132" customFormat="1" x14ac:dyDescent="0.25">
      <c r="A6" s="278" t="s">
        <v>365</v>
      </c>
      <c r="B6" s="406" t="s">
        <v>356</v>
      </c>
      <c r="C6" s="406"/>
      <c r="D6" s="406"/>
      <c r="E6" s="406"/>
      <c r="F6" s="406"/>
      <c r="G6" s="406"/>
      <c r="H6" s="406"/>
      <c r="I6" s="406"/>
      <c r="J6" s="216">
        <v>247</v>
      </c>
    </row>
    <row r="7" spans="1:10" s="132" customFormat="1" x14ac:dyDescent="0.25">
      <c r="A7" s="278" t="s">
        <v>366</v>
      </c>
      <c r="B7" s="132" t="s">
        <v>357</v>
      </c>
      <c r="J7" s="216">
        <v>249</v>
      </c>
    </row>
    <row r="8" spans="1:10" s="132" customFormat="1" x14ac:dyDescent="0.25">
      <c r="A8" s="278" t="s">
        <v>368</v>
      </c>
      <c r="B8" s="406" t="s">
        <v>367</v>
      </c>
      <c r="C8" s="406"/>
      <c r="D8" s="406"/>
      <c r="E8" s="406"/>
      <c r="F8" s="406"/>
      <c r="G8" s="406"/>
      <c r="H8" s="406"/>
      <c r="I8" s="406"/>
      <c r="J8" s="132">
        <v>251</v>
      </c>
    </row>
    <row r="9" spans="1:10" s="132" customFormat="1" x14ac:dyDescent="0.25">
      <c r="A9" s="278" t="s">
        <v>369</v>
      </c>
      <c r="B9" s="132" t="s">
        <v>358</v>
      </c>
      <c r="J9" s="216">
        <v>254</v>
      </c>
    </row>
    <row r="10" spans="1:10" s="132" customFormat="1" x14ac:dyDescent="0.25">
      <c r="A10" s="278" t="s">
        <v>370</v>
      </c>
      <c r="B10" s="406" t="s">
        <v>359</v>
      </c>
      <c r="C10" s="406"/>
      <c r="D10" s="406"/>
      <c r="E10" s="406"/>
      <c r="F10" s="406"/>
      <c r="G10" s="406"/>
      <c r="H10" s="406"/>
      <c r="I10" s="406"/>
      <c r="J10" s="216">
        <v>256</v>
      </c>
    </row>
  </sheetData>
  <mergeCells count="7">
    <mergeCell ref="B10:I10"/>
    <mergeCell ref="B8:I8"/>
    <mergeCell ref="A1:I1"/>
    <mergeCell ref="B3:I3"/>
    <mergeCell ref="B4:I4"/>
    <mergeCell ref="B5:I5"/>
    <mergeCell ref="B6:I6"/>
  </mergeCells>
  <pageMargins left="0.70866141732283472" right="0.51181102362204722" top="0.74803149606299213" bottom="0.55118110236220474" header="0.31496062992125984" footer="0.31496062992125984"/>
  <pageSetup paperSize="9" scale="99" firstPageNumber="238" orientation="portrait" useFirstPageNumber="1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X42"/>
  <sheetViews>
    <sheetView view="pageBreakPreview" topLeftCell="A22" zoomScale="85" zoomScaleNormal="100" zoomScaleSheetLayoutView="85" workbookViewId="0">
      <selection activeCell="V22" sqref="V1:Z1048576"/>
    </sheetView>
  </sheetViews>
  <sheetFormatPr defaultRowHeight="15" x14ac:dyDescent="0.25"/>
  <cols>
    <col min="1" max="1" width="8.42578125" customWidth="1"/>
    <col min="2" max="2" width="20.28515625" customWidth="1"/>
    <col min="3" max="3" width="12.5703125" customWidth="1"/>
    <col min="4" max="4" width="5.140625" customWidth="1"/>
    <col min="5" max="6" width="4.5703125" customWidth="1"/>
    <col min="7" max="7" width="4.42578125" customWidth="1"/>
    <col min="8" max="8" width="6" customWidth="1"/>
    <col min="9" max="9" width="4.140625" customWidth="1"/>
    <col min="10" max="10" width="4.5703125" customWidth="1"/>
    <col min="11" max="11" width="4.7109375" customWidth="1"/>
    <col min="12" max="12" width="5.140625" customWidth="1"/>
    <col min="13" max="13" width="29.85546875" customWidth="1"/>
    <col min="17" max="18" width="9.140625" style="71"/>
    <col min="19" max="19" width="7.140625" customWidth="1"/>
  </cols>
  <sheetData>
    <row r="1" spans="1:16" s="73" customFormat="1" ht="18.75" x14ac:dyDescent="0.25">
      <c r="A1" s="422" t="s">
        <v>410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</row>
    <row r="2" spans="1:16" s="73" customFormat="1" ht="9.75" customHeight="1" x14ac:dyDescent="0.25">
      <c r="A2" s="74"/>
    </row>
    <row r="3" spans="1:16" s="75" customFormat="1" ht="15.75" x14ac:dyDescent="0.25">
      <c r="A3" s="423" t="s">
        <v>211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</row>
    <row r="4" spans="1:16" s="75" customFormat="1" ht="15.75" x14ac:dyDescent="0.25">
      <c r="A4" s="424" t="s">
        <v>212</v>
      </c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</row>
    <row r="5" spans="1:16" s="73" customFormat="1" ht="15" customHeight="1" x14ac:dyDescent="0.25">
      <c r="A5" s="74"/>
    </row>
    <row r="6" spans="1:16" s="73" customFormat="1" ht="36" customHeight="1" x14ac:dyDescent="0.25">
      <c r="A6" s="425" t="s">
        <v>213</v>
      </c>
      <c r="B6" s="425"/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  <c r="N6" s="425"/>
      <c r="O6" s="425"/>
      <c r="P6" s="425"/>
    </row>
    <row r="7" spans="1:16" s="73" customFormat="1" ht="28.5" customHeight="1" x14ac:dyDescent="0.25">
      <c r="A7" s="422" t="s">
        <v>214</v>
      </c>
      <c r="B7" s="422"/>
      <c r="C7" s="422"/>
      <c r="D7" s="422"/>
      <c r="E7" s="422"/>
      <c r="F7" s="422"/>
      <c r="G7" s="422"/>
      <c r="H7" s="422"/>
      <c r="I7" s="422"/>
      <c r="J7" s="422"/>
      <c r="K7" s="422"/>
      <c r="L7" s="422"/>
      <c r="M7" s="422"/>
      <c r="N7" s="422"/>
      <c r="O7" s="422"/>
    </row>
    <row r="8" spans="1:16" s="73" customFormat="1" ht="15.75" x14ac:dyDescent="0.25">
      <c r="A8" s="424" t="s">
        <v>215</v>
      </c>
      <c r="B8" s="424"/>
      <c r="C8" s="424"/>
      <c r="D8" s="424"/>
      <c r="E8" s="424"/>
      <c r="F8" s="424"/>
      <c r="G8" s="424"/>
      <c r="H8" s="424"/>
      <c r="I8" s="424"/>
      <c r="J8" s="424"/>
      <c r="K8" s="424"/>
      <c r="L8" s="424"/>
      <c r="M8" s="424"/>
      <c r="N8" s="424"/>
      <c r="O8" s="424"/>
    </row>
    <row r="9" spans="1:16" s="73" customFormat="1" ht="15.75" x14ac:dyDescent="0.25">
      <c r="A9" s="424" t="s">
        <v>216</v>
      </c>
      <c r="B9" s="424"/>
      <c r="C9" s="424"/>
      <c r="D9" s="424"/>
      <c r="E9" s="424"/>
      <c r="F9" s="424"/>
      <c r="G9" s="424"/>
      <c r="H9" s="424"/>
      <c r="I9" s="424"/>
      <c r="J9" s="424"/>
      <c r="K9" s="424"/>
      <c r="L9" s="424"/>
      <c r="M9" s="424"/>
      <c r="N9" s="424"/>
      <c r="O9" s="424"/>
    </row>
    <row r="10" spans="1:16" s="73" customFormat="1" ht="15.75" x14ac:dyDescent="0.25">
      <c r="A10" s="424" t="s">
        <v>217</v>
      </c>
      <c r="B10" s="424"/>
      <c r="C10" s="424"/>
      <c r="D10" s="424"/>
      <c r="E10" s="424"/>
      <c r="F10" s="424"/>
      <c r="G10" s="424"/>
      <c r="H10" s="424"/>
      <c r="I10" s="424"/>
      <c r="J10" s="424"/>
      <c r="K10" s="424"/>
      <c r="L10" s="424"/>
      <c r="M10" s="424"/>
      <c r="N10" s="424"/>
      <c r="O10" s="424"/>
    </row>
    <row r="11" spans="1:16" s="73" customFormat="1" ht="15.75" x14ac:dyDescent="0.25">
      <c r="A11" s="424" t="s">
        <v>218</v>
      </c>
      <c r="B11" s="424"/>
      <c r="C11" s="424"/>
      <c r="D11" s="424"/>
      <c r="E11" s="424"/>
      <c r="F11" s="424"/>
      <c r="G11" s="424"/>
      <c r="H11" s="424"/>
      <c r="I11" s="424"/>
      <c r="J11" s="424"/>
      <c r="K11" s="424"/>
      <c r="L11" s="424"/>
      <c r="M11" s="424"/>
      <c r="N11" s="424"/>
      <c r="O11" s="424"/>
    </row>
    <row r="12" spans="1:16" s="73" customFormat="1" ht="15.75" x14ac:dyDescent="0.25">
      <c r="A12" s="424" t="s">
        <v>219</v>
      </c>
      <c r="B12" s="424"/>
      <c r="C12" s="424"/>
      <c r="D12" s="424"/>
      <c r="E12" s="424"/>
      <c r="F12" s="424"/>
      <c r="G12" s="424"/>
      <c r="H12" s="424"/>
      <c r="I12" s="424"/>
      <c r="J12" s="424"/>
      <c r="K12" s="424"/>
      <c r="L12" s="424"/>
      <c r="M12" s="424"/>
      <c r="N12" s="424"/>
      <c r="O12" s="424"/>
    </row>
    <row r="13" spans="1:16" s="73" customFormat="1" ht="15.75" x14ac:dyDescent="0.25">
      <c r="A13" s="424" t="s">
        <v>220</v>
      </c>
      <c r="B13" s="424"/>
      <c r="C13" s="424"/>
      <c r="D13" s="424"/>
      <c r="E13" s="424"/>
      <c r="F13" s="424"/>
      <c r="G13" s="424"/>
      <c r="H13" s="424"/>
      <c r="I13" s="424"/>
      <c r="J13" s="424"/>
      <c r="K13" s="424"/>
      <c r="L13" s="424"/>
      <c r="M13" s="424"/>
      <c r="N13" s="424"/>
      <c r="O13" s="424"/>
    </row>
    <row r="14" spans="1:16" s="73" customFormat="1" ht="15.75" x14ac:dyDescent="0.25">
      <c r="A14" s="424" t="s">
        <v>221</v>
      </c>
      <c r="B14" s="424"/>
      <c r="C14" s="424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4"/>
      <c r="O14" s="424"/>
    </row>
    <row r="15" spans="1:16" s="73" customFormat="1" ht="15.75" x14ac:dyDescent="0.25">
      <c r="A15" s="424" t="s">
        <v>222</v>
      </c>
      <c r="B15" s="424"/>
      <c r="C15" s="424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4"/>
      <c r="O15" s="424"/>
    </row>
    <row r="16" spans="1:16" s="73" customFormat="1" ht="9.75" customHeight="1" x14ac:dyDescent="0.25">
      <c r="A16" s="76"/>
    </row>
    <row r="17" spans="1:22" s="73" customFormat="1" ht="38.25" customHeight="1" x14ac:dyDescent="0.25">
      <c r="A17" s="425" t="s">
        <v>223</v>
      </c>
      <c r="B17" s="425"/>
      <c r="C17" s="425"/>
      <c r="D17" s="425"/>
      <c r="E17" s="425"/>
      <c r="F17" s="425"/>
      <c r="G17" s="425"/>
      <c r="H17" s="425"/>
      <c r="I17" s="425"/>
      <c r="J17" s="425"/>
      <c r="K17" s="425"/>
      <c r="L17" s="425"/>
      <c r="M17" s="425"/>
      <c r="N17" s="425"/>
      <c r="O17" s="425"/>
      <c r="P17" s="425"/>
    </row>
    <row r="18" spans="1:22" s="73" customFormat="1" ht="11.25" customHeight="1" x14ac:dyDescent="0.25">
      <c r="A18" s="76"/>
    </row>
    <row r="19" spans="1:22" s="73" customFormat="1" ht="18.75" x14ac:dyDescent="0.25">
      <c r="A19" s="422" t="s">
        <v>224</v>
      </c>
      <c r="B19" s="422"/>
      <c r="C19" s="422"/>
      <c r="D19" s="422"/>
      <c r="E19" s="422"/>
      <c r="F19" s="422"/>
      <c r="G19" s="422"/>
      <c r="H19" s="422"/>
      <c r="I19" s="422"/>
      <c r="J19" s="422"/>
      <c r="K19" s="422"/>
      <c r="L19" s="422"/>
      <c r="M19" s="422"/>
      <c r="N19" s="422"/>
      <c r="O19" s="422"/>
    </row>
    <row r="20" spans="1:22" s="73" customFormat="1" ht="11.25" customHeight="1" x14ac:dyDescent="0.25">
      <c r="A20" s="74"/>
    </row>
    <row r="21" spans="1:22" s="73" customFormat="1" ht="18.75" x14ac:dyDescent="0.25">
      <c r="A21" s="425" t="s">
        <v>239</v>
      </c>
      <c r="B21" s="425"/>
      <c r="C21" s="425"/>
      <c r="D21" s="425"/>
      <c r="E21" s="425"/>
      <c r="F21" s="425"/>
      <c r="G21" s="425"/>
      <c r="H21" s="425"/>
      <c r="I21" s="425"/>
      <c r="J21" s="425"/>
      <c r="K21" s="425"/>
      <c r="L21" s="425"/>
      <c r="M21" s="425"/>
      <c r="N21" s="425"/>
      <c r="O21" s="425"/>
    </row>
    <row r="22" spans="1:22" s="73" customFormat="1" ht="18.75" x14ac:dyDescent="0.25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spans="1:22" s="73" customFormat="1" ht="18.75" x14ac:dyDescent="0.25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spans="1:22" s="73" customFormat="1" ht="110.25" customHeight="1" x14ac:dyDescent="0.25"/>
    <row r="25" spans="1:22" ht="15.75" x14ac:dyDescent="0.25">
      <c r="A25" s="410" t="s">
        <v>411</v>
      </c>
      <c r="B25" s="410"/>
      <c r="C25" s="410"/>
      <c r="D25" s="410"/>
      <c r="E25" s="410"/>
      <c r="F25" s="410"/>
      <c r="G25" s="410"/>
      <c r="H25" s="410"/>
      <c r="I25" s="410"/>
      <c r="J25" s="410"/>
      <c r="K25" s="410"/>
      <c r="L25" s="410"/>
      <c r="M25" s="410"/>
      <c r="N25" s="410"/>
      <c r="O25" s="410"/>
      <c r="P25" s="410"/>
      <c r="Q25" s="67"/>
      <c r="R25" s="67"/>
    </row>
    <row r="26" spans="1:22" ht="26.25" customHeight="1" x14ac:dyDescent="0.25">
      <c r="A26" s="3" t="s">
        <v>1</v>
      </c>
      <c r="B26" s="3" t="s">
        <v>2</v>
      </c>
      <c r="C26" s="3" t="s">
        <v>3</v>
      </c>
      <c r="D26" s="3" t="s">
        <v>4</v>
      </c>
      <c r="E26" s="3" t="s">
        <v>5</v>
      </c>
      <c r="F26" s="3" t="s">
        <v>6</v>
      </c>
      <c r="G26" s="3" t="s">
        <v>7</v>
      </c>
      <c r="H26" s="3" t="s">
        <v>8</v>
      </c>
      <c r="I26" s="3" t="s">
        <v>9</v>
      </c>
      <c r="J26" s="3" t="s">
        <v>10</v>
      </c>
      <c r="K26" s="3" t="s">
        <v>11</v>
      </c>
      <c r="L26" s="3" t="s">
        <v>12</v>
      </c>
      <c r="M26" s="3" t="s">
        <v>13</v>
      </c>
      <c r="N26" s="3" t="s">
        <v>14</v>
      </c>
      <c r="O26" s="3" t="s">
        <v>15</v>
      </c>
      <c r="P26" s="3" t="s">
        <v>16</v>
      </c>
      <c r="Q26" s="68"/>
      <c r="R26" s="68"/>
    </row>
    <row r="27" spans="1:22" ht="20.100000000000001" customHeight="1" x14ac:dyDescent="0.25">
      <c r="A27" s="3">
        <v>1</v>
      </c>
      <c r="B27" s="3">
        <v>2</v>
      </c>
      <c r="C27" s="3">
        <v>3</v>
      </c>
      <c r="D27" s="3">
        <v>4</v>
      </c>
      <c r="E27" s="3">
        <v>5</v>
      </c>
      <c r="F27" s="3">
        <v>6</v>
      </c>
      <c r="G27" s="3">
        <v>7</v>
      </c>
      <c r="H27" s="3">
        <v>8</v>
      </c>
      <c r="I27" s="3">
        <v>9</v>
      </c>
      <c r="J27" s="3">
        <v>10</v>
      </c>
      <c r="K27" s="3">
        <v>11</v>
      </c>
      <c r="L27" s="3">
        <v>12</v>
      </c>
      <c r="M27" s="3">
        <v>13</v>
      </c>
      <c r="N27" s="3">
        <v>14</v>
      </c>
      <c r="O27" s="3">
        <v>15</v>
      </c>
      <c r="P27" s="3">
        <v>16</v>
      </c>
      <c r="Q27" s="68"/>
      <c r="R27" s="68"/>
    </row>
    <row r="28" spans="1:22" ht="20.100000000000001" customHeight="1" x14ac:dyDescent="0.25">
      <c r="A28" s="419" t="s">
        <v>0</v>
      </c>
      <c r="B28" s="420"/>
      <c r="C28" s="420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1"/>
      <c r="Q28" s="69"/>
      <c r="R28" s="69"/>
    </row>
    <row r="29" spans="1:22" ht="20.100000000000001" customHeight="1" x14ac:dyDescent="0.25">
      <c r="A29" s="411" t="s">
        <v>17</v>
      </c>
      <c r="B29" s="412"/>
      <c r="C29" s="412"/>
      <c r="D29" s="412"/>
      <c r="E29" s="412"/>
      <c r="F29" s="412"/>
      <c r="G29" s="412"/>
      <c r="H29" s="412"/>
      <c r="I29" s="412"/>
      <c r="J29" s="412"/>
      <c r="K29" s="412"/>
      <c r="L29" s="412"/>
      <c r="M29" s="412"/>
      <c r="N29" s="412"/>
      <c r="O29" s="412"/>
      <c r="P29" s="413"/>
      <c r="Q29" s="69"/>
      <c r="R29" s="69"/>
      <c r="S29" s="2" t="s">
        <v>18</v>
      </c>
      <c r="T29" s="2" t="s">
        <v>19</v>
      </c>
    </row>
    <row r="30" spans="1:22" ht="20.100000000000001" customHeight="1" x14ac:dyDescent="0.25">
      <c r="A30" s="411" t="s">
        <v>20</v>
      </c>
      <c r="B30" s="412"/>
      <c r="C30" s="412"/>
      <c r="D30" s="412"/>
      <c r="E30" s="412"/>
      <c r="F30" s="412"/>
      <c r="G30" s="412"/>
      <c r="H30" s="412"/>
      <c r="I30" s="412"/>
      <c r="J30" s="412"/>
      <c r="K30" s="412"/>
      <c r="L30" s="412"/>
      <c r="M30" s="412"/>
      <c r="N30" s="412"/>
      <c r="O30" s="412"/>
      <c r="P30" s="413"/>
      <c r="Q30" s="69"/>
      <c r="R30" s="69"/>
      <c r="S30" s="1"/>
      <c r="T30" s="1"/>
      <c r="U30" s="1"/>
      <c r="V30" s="1"/>
    </row>
    <row r="31" spans="1:22" ht="20.100000000000001" customHeight="1" x14ac:dyDescent="0.25">
      <c r="A31" s="414">
        <v>900101</v>
      </c>
      <c r="B31" s="416" t="s">
        <v>203</v>
      </c>
      <c r="C31" s="418" t="s">
        <v>202</v>
      </c>
      <c r="D31" s="280">
        <v>1.3</v>
      </c>
      <c r="E31" s="280">
        <v>1.6</v>
      </c>
      <c r="F31" s="280">
        <v>8.5</v>
      </c>
      <c r="G31" s="280">
        <v>7</v>
      </c>
      <c r="H31" s="280">
        <f>ROUND(((T31/S31)/G31),0)</f>
        <v>9</v>
      </c>
      <c r="I31" s="280">
        <v>120</v>
      </c>
      <c r="J31" s="280">
        <v>1.4</v>
      </c>
      <c r="K31" s="280">
        <v>0.1</v>
      </c>
      <c r="L31" s="280">
        <v>1.1499999999999999</v>
      </c>
      <c r="M31" s="281" t="s">
        <v>372</v>
      </c>
      <c r="N31" s="281">
        <v>2908</v>
      </c>
      <c r="O31" s="280">
        <f>ROUND(((D31*E31*F31*J31*K31/(I31*L31))),4)</f>
        <v>1.7899999999999999E-2</v>
      </c>
      <c r="P31" s="280">
        <f>ROUND(((D31*3.6*E31*F31*G31*H31*J31*K31/(1000*I31*L31))),4)</f>
        <v>4.1000000000000003E-3</v>
      </c>
      <c r="Q31" s="70"/>
      <c r="R31" s="70"/>
      <c r="S31" s="2">
        <v>20</v>
      </c>
      <c r="T31" s="2">
        <f>3120*0.4</f>
        <v>1248</v>
      </c>
      <c r="U31" s="2"/>
      <c r="V31" s="2"/>
    </row>
    <row r="32" spans="1:22" ht="20.100000000000001" customHeight="1" x14ac:dyDescent="0.25">
      <c r="A32" s="415"/>
      <c r="B32" s="417"/>
      <c r="C32" s="417"/>
      <c r="D32" s="280">
        <v>1.3</v>
      </c>
      <c r="E32" s="280">
        <v>1.6</v>
      </c>
      <c r="F32" s="280">
        <v>16.600000000000001</v>
      </c>
      <c r="G32" s="280">
        <v>7</v>
      </c>
      <c r="H32" s="280">
        <f>ROUND(((T32/S32)/G32),0)</f>
        <v>13</v>
      </c>
      <c r="I32" s="280">
        <v>55</v>
      </c>
      <c r="J32" s="280">
        <v>1.4</v>
      </c>
      <c r="K32" s="280">
        <v>0.1</v>
      </c>
      <c r="L32" s="280">
        <v>1.1499999999999999</v>
      </c>
      <c r="M32" s="281" t="s">
        <v>372</v>
      </c>
      <c r="N32" s="281">
        <v>2908</v>
      </c>
      <c r="O32" s="280">
        <f>ROUND(((D32*E32*F32*J32*K32/(I32*L32))),4)</f>
        <v>7.6399999999999996E-2</v>
      </c>
      <c r="P32" s="280">
        <f>ROUND(((D32*3.6*E32*F32*G32*H32*J32*K32/(1000*I32*L32))),4)</f>
        <v>2.5000000000000001E-2</v>
      </c>
      <c r="Q32" s="70"/>
      <c r="R32" s="70"/>
      <c r="S32" s="2">
        <v>20</v>
      </c>
      <c r="T32" s="2">
        <f>3120*0.6</f>
        <v>1872</v>
      </c>
      <c r="U32" s="2"/>
      <c r="V32" s="2"/>
    </row>
    <row r="33" spans="1:24" ht="20.100000000000001" customHeight="1" x14ac:dyDescent="0.25">
      <c r="A33" s="426" t="s">
        <v>339</v>
      </c>
      <c r="B33" s="427"/>
      <c r="C33" s="427"/>
      <c r="D33" s="427"/>
      <c r="E33" s="427"/>
      <c r="F33" s="427"/>
      <c r="G33" s="427"/>
      <c r="H33" s="427"/>
      <c r="I33" s="427"/>
      <c r="J33" s="427"/>
      <c r="K33" s="427"/>
      <c r="L33" s="428"/>
      <c r="M33" s="282" t="s">
        <v>373</v>
      </c>
      <c r="N33" s="282">
        <v>2908</v>
      </c>
      <c r="O33" s="283">
        <f>O31+O32</f>
        <v>9.4299999999999995E-2</v>
      </c>
      <c r="P33" s="283">
        <f>P31+P32</f>
        <v>2.9100000000000001E-2</v>
      </c>
      <c r="Q33" s="72">
        <f>O33</f>
        <v>9.4299999999999995E-2</v>
      </c>
      <c r="R33" s="72">
        <f>P33</f>
        <v>2.9100000000000001E-2</v>
      </c>
      <c r="S33" s="2"/>
      <c r="T33" s="2"/>
      <c r="U33" s="2"/>
      <c r="V33" s="61"/>
      <c r="X33" s="1"/>
    </row>
    <row r="34" spans="1:24" ht="20.100000000000001" customHeight="1" x14ac:dyDescent="0.25">
      <c r="A34" s="411" t="s">
        <v>21</v>
      </c>
      <c r="B34" s="412"/>
      <c r="C34" s="412"/>
      <c r="D34" s="412"/>
      <c r="E34" s="412"/>
      <c r="F34" s="412"/>
      <c r="G34" s="412"/>
      <c r="H34" s="412"/>
      <c r="I34" s="412"/>
      <c r="J34" s="412"/>
      <c r="K34" s="412"/>
      <c r="L34" s="412"/>
      <c r="M34" s="412"/>
      <c r="N34" s="412"/>
      <c r="O34" s="412"/>
      <c r="P34" s="413"/>
      <c r="Q34" s="69"/>
      <c r="R34" s="69"/>
      <c r="S34" s="2" t="s">
        <v>18</v>
      </c>
      <c r="T34" s="2" t="s">
        <v>19</v>
      </c>
    </row>
    <row r="35" spans="1:24" ht="20.100000000000001" customHeight="1" x14ac:dyDescent="0.25">
      <c r="A35" s="411" t="s">
        <v>20</v>
      </c>
      <c r="B35" s="412"/>
      <c r="C35" s="412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2"/>
      <c r="O35" s="412"/>
      <c r="P35" s="413"/>
      <c r="Q35" s="69"/>
      <c r="R35" s="69"/>
      <c r="S35" s="1"/>
      <c r="T35" s="1"/>
      <c r="U35" s="1"/>
      <c r="V35" s="1"/>
    </row>
    <row r="36" spans="1:24" ht="20.100000000000001" customHeight="1" x14ac:dyDescent="0.25">
      <c r="A36" s="414">
        <v>900101</v>
      </c>
      <c r="B36" s="416" t="s">
        <v>203</v>
      </c>
      <c r="C36" s="418" t="s">
        <v>202</v>
      </c>
      <c r="D36" s="280">
        <v>1.3</v>
      </c>
      <c r="E36" s="280">
        <v>1.6</v>
      </c>
      <c r="F36" s="280">
        <v>8.5</v>
      </c>
      <c r="G36" s="280">
        <v>7</v>
      </c>
      <c r="H36" s="280">
        <f>ROUND(((T36/S36)/G36),0)</f>
        <v>27</v>
      </c>
      <c r="I36" s="280">
        <v>120</v>
      </c>
      <c r="J36" s="280">
        <v>1.4</v>
      </c>
      <c r="K36" s="280">
        <v>0.1</v>
      </c>
      <c r="L36" s="280">
        <v>1.1499999999999999</v>
      </c>
      <c r="M36" s="281" t="s">
        <v>372</v>
      </c>
      <c r="N36" s="281">
        <v>2908</v>
      </c>
      <c r="O36" s="280">
        <f>ROUND(((D36*E36*F36*J36*K36/(I36*L36))),4)</f>
        <v>1.7899999999999999E-2</v>
      </c>
      <c r="P36" s="280">
        <f>ROUND(((D36*3.6*E36*F36*G36*H36*J36*K36/(1000*I36*L36))),4)</f>
        <v>1.2200000000000001E-2</v>
      </c>
      <c r="Q36" s="70"/>
      <c r="R36" s="70"/>
      <c r="S36" s="2">
        <v>20</v>
      </c>
      <c r="T36" s="2">
        <f>9360*0.4</f>
        <v>3744</v>
      </c>
      <c r="U36" s="2"/>
      <c r="V36" s="2"/>
    </row>
    <row r="37" spans="1:24" ht="20.100000000000001" customHeight="1" x14ac:dyDescent="0.25">
      <c r="A37" s="415"/>
      <c r="B37" s="417"/>
      <c r="C37" s="417"/>
      <c r="D37" s="280">
        <v>1.3</v>
      </c>
      <c r="E37" s="280">
        <v>1.6</v>
      </c>
      <c r="F37" s="280">
        <v>16.600000000000001</v>
      </c>
      <c r="G37" s="280">
        <v>7</v>
      </c>
      <c r="H37" s="280">
        <f>ROUND(((T37/S37)/G37),0)</f>
        <v>40</v>
      </c>
      <c r="I37" s="280">
        <v>55</v>
      </c>
      <c r="J37" s="280">
        <v>1.4</v>
      </c>
      <c r="K37" s="280">
        <v>0.1</v>
      </c>
      <c r="L37" s="280">
        <v>1.1499999999999999</v>
      </c>
      <c r="M37" s="281" t="s">
        <v>372</v>
      </c>
      <c r="N37" s="281">
        <v>2908</v>
      </c>
      <c r="O37" s="280">
        <f>ROUND(((D37*E37*F37*J37*K37/(I37*L37))),4)</f>
        <v>7.6399999999999996E-2</v>
      </c>
      <c r="P37" s="280">
        <f>ROUND(((D37*3.6*E37*F37*G37*H37*J37*K37/(1000*I37*L37))),4)</f>
        <v>7.6999999999999999E-2</v>
      </c>
      <c r="Q37" s="70"/>
      <c r="R37" s="70"/>
      <c r="S37" s="2">
        <v>20</v>
      </c>
      <c r="T37" s="2">
        <f>9360*0.6</f>
        <v>5616</v>
      </c>
      <c r="U37" s="2"/>
      <c r="V37" s="2"/>
    </row>
    <row r="38" spans="1:24" ht="20.100000000000001" customHeight="1" x14ac:dyDescent="0.25">
      <c r="A38" s="426" t="s">
        <v>339</v>
      </c>
      <c r="B38" s="427"/>
      <c r="C38" s="427"/>
      <c r="D38" s="427"/>
      <c r="E38" s="427"/>
      <c r="F38" s="427"/>
      <c r="G38" s="427"/>
      <c r="H38" s="427"/>
      <c r="I38" s="427"/>
      <c r="J38" s="427"/>
      <c r="K38" s="427"/>
      <c r="L38" s="428"/>
      <c r="M38" s="282" t="s">
        <v>373</v>
      </c>
      <c r="N38" s="282">
        <v>2908</v>
      </c>
      <c r="O38" s="283">
        <f>O36+O37</f>
        <v>9.4299999999999995E-2</v>
      </c>
      <c r="P38" s="283">
        <f>P36+P37</f>
        <v>8.9200000000000002E-2</v>
      </c>
      <c r="Q38" s="72">
        <f>O38</f>
        <v>9.4299999999999995E-2</v>
      </c>
      <c r="R38" s="72">
        <f>P38</f>
        <v>8.9200000000000002E-2</v>
      </c>
      <c r="S38" s="2"/>
      <c r="T38" s="2"/>
      <c r="U38" s="2"/>
      <c r="V38" s="61"/>
      <c r="X38" s="1"/>
    </row>
    <row r="39" spans="1:24" ht="20.100000000000001" customHeight="1" x14ac:dyDescent="0.25">
      <c r="A39" s="411" t="s">
        <v>22</v>
      </c>
      <c r="B39" s="412"/>
      <c r="C39" s="412"/>
      <c r="D39" s="412"/>
      <c r="E39" s="412"/>
      <c r="F39" s="412"/>
      <c r="G39" s="412"/>
      <c r="H39" s="412"/>
      <c r="I39" s="412"/>
      <c r="J39" s="412"/>
      <c r="K39" s="412"/>
      <c r="L39" s="412"/>
      <c r="M39" s="412"/>
      <c r="N39" s="412"/>
      <c r="O39" s="412"/>
      <c r="P39" s="413"/>
      <c r="Q39" s="69"/>
      <c r="R39" s="69"/>
      <c r="S39" s="2" t="s">
        <v>18</v>
      </c>
      <c r="T39" s="2" t="s">
        <v>19</v>
      </c>
    </row>
    <row r="40" spans="1:24" ht="18.75" customHeight="1" x14ac:dyDescent="0.25">
      <c r="A40" s="414">
        <v>900101</v>
      </c>
      <c r="B40" s="416" t="s">
        <v>203</v>
      </c>
      <c r="C40" s="418" t="s">
        <v>202</v>
      </c>
      <c r="D40" s="280">
        <v>1.3</v>
      </c>
      <c r="E40" s="280">
        <v>1.6</v>
      </c>
      <c r="F40" s="280">
        <v>8.5</v>
      </c>
      <c r="G40" s="280">
        <v>7</v>
      </c>
      <c r="H40" s="280">
        <f>ROUND(((T40/S40)/G40),0)</f>
        <v>9</v>
      </c>
      <c r="I40" s="280">
        <v>120</v>
      </c>
      <c r="J40" s="280">
        <v>1.4</v>
      </c>
      <c r="K40" s="280">
        <v>0.1</v>
      </c>
      <c r="L40" s="280">
        <v>1.1499999999999999</v>
      </c>
      <c r="M40" s="281" t="s">
        <v>372</v>
      </c>
      <c r="N40" s="281">
        <v>2908</v>
      </c>
      <c r="O40" s="280">
        <f>ROUND(((D40*E40*F40*J40*K40/(I40*L40))),4)</f>
        <v>1.7899999999999999E-2</v>
      </c>
      <c r="P40" s="280">
        <f>ROUND(((D40*3.6*E40*F40*G40*H40*J40*K40/(1000*I40*L40))),4)</f>
        <v>4.1000000000000003E-3</v>
      </c>
      <c r="Q40" s="70"/>
      <c r="R40" s="70"/>
      <c r="S40" s="2">
        <v>20</v>
      </c>
      <c r="T40" s="2">
        <f>3120*0.4</f>
        <v>1248</v>
      </c>
      <c r="U40" s="2"/>
      <c r="V40" s="2"/>
    </row>
    <row r="41" spans="1:24" ht="18.75" customHeight="1" x14ac:dyDescent="0.25">
      <c r="A41" s="415"/>
      <c r="B41" s="417"/>
      <c r="C41" s="417"/>
      <c r="D41" s="280">
        <v>1.3</v>
      </c>
      <c r="E41" s="280">
        <v>1.6</v>
      </c>
      <c r="F41" s="280">
        <v>16.600000000000001</v>
      </c>
      <c r="G41" s="280">
        <v>7</v>
      </c>
      <c r="H41" s="280">
        <f>ROUND(((T41/S41)/G41),0)</f>
        <v>13</v>
      </c>
      <c r="I41" s="280">
        <v>55</v>
      </c>
      <c r="J41" s="280">
        <v>1.4</v>
      </c>
      <c r="K41" s="280">
        <v>0.1</v>
      </c>
      <c r="L41" s="280">
        <v>1.1499999999999999</v>
      </c>
      <c r="M41" s="281" t="s">
        <v>372</v>
      </c>
      <c r="N41" s="281">
        <v>2908</v>
      </c>
      <c r="O41" s="280">
        <f>ROUND(((D41*E41*F41*J41*K41/(I41*L41))),4)</f>
        <v>7.6399999999999996E-2</v>
      </c>
      <c r="P41" s="280">
        <f>ROUND(((D41*3.6*E41*F41*G41*H41*J41*K41/(1000*I41*L41))),4)</f>
        <v>2.5000000000000001E-2</v>
      </c>
      <c r="Q41" s="70"/>
      <c r="R41" s="70"/>
      <c r="S41" s="2">
        <v>20</v>
      </c>
      <c r="T41" s="2">
        <f>3120*0.6</f>
        <v>1872</v>
      </c>
      <c r="U41" s="2"/>
      <c r="V41" s="2"/>
    </row>
    <row r="42" spans="1:24" x14ac:dyDescent="0.25">
      <c r="A42" s="426" t="s">
        <v>339</v>
      </c>
      <c r="B42" s="427"/>
      <c r="C42" s="427"/>
      <c r="D42" s="427"/>
      <c r="E42" s="427"/>
      <c r="F42" s="427"/>
      <c r="G42" s="427"/>
      <c r="H42" s="427"/>
      <c r="I42" s="427"/>
      <c r="J42" s="427"/>
      <c r="K42" s="427"/>
      <c r="L42" s="428"/>
      <c r="M42" s="282" t="s">
        <v>373</v>
      </c>
      <c r="N42" s="282">
        <v>2908</v>
      </c>
      <c r="O42" s="283">
        <f>O40+O41</f>
        <v>9.4299999999999995E-2</v>
      </c>
      <c r="P42" s="283">
        <f>P40+P41</f>
        <v>2.9100000000000001E-2</v>
      </c>
      <c r="Q42" s="72">
        <f>O42</f>
        <v>9.4299999999999995E-2</v>
      </c>
      <c r="R42" s="72">
        <f>P42</f>
        <v>2.9100000000000001E-2</v>
      </c>
      <c r="S42" s="2"/>
      <c r="T42" s="2"/>
      <c r="U42" s="2"/>
      <c r="V42" s="61"/>
      <c r="X42" s="1"/>
    </row>
  </sheetData>
  <mergeCells count="35">
    <mergeCell ref="A42:L42"/>
    <mergeCell ref="A21:O21"/>
    <mergeCell ref="A13:O13"/>
    <mergeCell ref="A14:O14"/>
    <mergeCell ref="A15:O15"/>
    <mergeCell ref="A17:P17"/>
    <mergeCell ref="A19:O19"/>
    <mergeCell ref="A36:A37"/>
    <mergeCell ref="B36:B37"/>
    <mergeCell ref="C36:C37"/>
    <mergeCell ref="A38:L38"/>
    <mergeCell ref="A39:P39"/>
    <mergeCell ref="A40:A41"/>
    <mergeCell ref="B40:B41"/>
    <mergeCell ref="C40:C41"/>
    <mergeCell ref="A33:L33"/>
    <mergeCell ref="A8:O8"/>
    <mergeCell ref="A9:O9"/>
    <mergeCell ref="A10:O10"/>
    <mergeCell ref="A11:O11"/>
    <mergeCell ref="A12:O12"/>
    <mergeCell ref="A1:O1"/>
    <mergeCell ref="A3:O3"/>
    <mergeCell ref="A4:O4"/>
    <mergeCell ref="A6:P6"/>
    <mergeCell ref="A7:O7"/>
    <mergeCell ref="A25:P25"/>
    <mergeCell ref="A29:P29"/>
    <mergeCell ref="A34:P34"/>
    <mergeCell ref="A35:P35"/>
    <mergeCell ref="A30:P30"/>
    <mergeCell ref="A31:A32"/>
    <mergeCell ref="B31:B32"/>
    <mergeCell ref="C31:C32"/>
    <mergeCell ref="A28:P28"/>
  </mergeCells>
  <pageMargins left="0.31496062992125984" right="0.31496062992125984" top="0.78740157480314965" bottom="0.39370078740157483" header="0.31496062992125984" footer="0.19685039370078741"/>
  <pageSetup paperSize="9" firstPageNumber="239" orientation="landscape" useFirstPageNumber="1" horizontalDpi="1200" verticalDpi="1200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V44"/>
  <sheetViews>
    <sheetView view="pageBreakPreview" topLeftCell="A16" zoomScale="85" zoomScaleNormal="100" zoomScaleSheetLayoutView="85" workbookViewId="0">
      <selection activeCell="U12" sqref="U12"/>
    </sheetView>
  </sheetViews>
  <sheetFormatPr defaultRowHeight="15" x14ac:dyDescent="0.25"/>
  <cols>
    <col min="1" max="1" width="7.85546875" customWidth="1"/>
    <col min="2" max="2" width="18.85546875" customWidth="1"/>
    <col min="3" max="3" width="12.5703125" customWidth="1"/>
    <col min="4" max="4" width="5.140625" customWidth="1"/>
    <col min="5" max="6" width="4.5703125" customWidth="1"/>
    <col min="7" max="7" width="4.42578125" customWidth="1"/>
    <col min="8" max="9" width="4.140625" customWidth="1"/>
    <col min="10" max="10" width="4.5703125" customWidth="1"/>
    <col min="11" max="11" width="5.140625" customWidth="1"/>
    <col min="12" max="12" width="4" customWidth="1"/>
    <col min="13" max="13" width="30.28515625" customWidth="1"/>
  </cols>
  <sheetData>
    <row r="1" spans="1:15" s="78" customFormat="1" ht="18.75" customHeight="1" x14ac:dyDescent="0.25">
      <c r="A1" s="422" t="s">
        <v>360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</row>
    <row r="2" spans="1:15" s="78" customFormat="1" ht="18.75" x14ac:dyDescent="0.25">
      <c r="A2" s="74"/>
    </row>
    <row r="3" spans="1:15" s="79" customFormat="1" ht="15.75" x14ac:dyDescent="0.25">
      <c r="A3" s="423" t="s">
        <v>211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</row>
    <row r="4" spans="1:15" s="79" customFormat="1" ht="15.75" x14ac:dyDescent="0.25">
      <c r="A4" s="424" t="s">
        <v>212</v>
      </c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</row>
    <row r="5" spans="1:15" s="78" customFormat="1" ht="18.75" x14ac:dyDescent="0.25">
      <c r="A5" s="74"/>
    </row>
    <row r="6" spans="1:15" s="78" customFormat="1" ht="36" customHeight="1" x14ac:dyDescent="0.25">
      <c r="A6" s="425" t="s">
        <v>225</v>
      </c>
      <c r="B6" s="425"/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  <c r="N6" s="425"/>
      <c r="O6" s="425"/>
    </row>
    <row r="7" spans="1:15" s="78" customFormat="1" ht="42" customHeight="1" x14ac:dyDescent="0.25">
      <c r="A7" s="425" t="s">
        <v>226</v>
      </c>
      <c r="B7" s="425"/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</row>
    <row r="8" spans="1:15" s="78" customFormat="1" ht="25.5" customHeight="1" x14ac:dyDescent="0.25">
      <c r="A8" s="422" t="s">
        <v>227</v>
      </c>
      <c r="B8" s="422"/>
      <c r="C8" s="422"/>
      <c r="D8" s="422"/>
      <c r="E8" s="422"/>
      <c r="F8" s="422"/>
      <c r="G8" s="422"/>
      <c r="H8" s="422"/>
      <c r="I8" s="422"/>
      <c r="J8" s="422"/>
      <c r="K8" s="422"/>
      <c r="L8" s="422"/>
      <c r="M8" s="422"/>
      <c r="N8" s="422"/>
      <c r="O8" s="422"/>
    </row>
    <row r="9" spans="1:15" s="78" customFormat="1" ht="27.75" customHeight="1" x14ac:dyDescent="0.25">
      <c r="A9" s="422" t="s">
        <v>228</v>
      </c>
      <c r="B9" s="422"/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2"/>
      <c r="N9" s="422"/>
      <c r="O9" s="422"/>
    </row>
    <row r="10" spans="1:15" s="78" customFormat="1" ht="15.75" x14ac:dyDescent="0.25">
      <c r="A10" s="424" t="s">
        <v>229</v>
      </c>
      <c r="B10" s="424"/>
      <c r="C10" s="424"/>
      <c r="D10" s="424"/>
      <c r="E10" s="424"/>
      <c r="F10" s="424"/>
      <c r="G10" s="424"/>
      <c r="H10" s="424"/>
      <c r="I10" s="424"/>
      <c r="J10" s="424"/>
      <c r="K10" s="424"/>
      <c r="L10" s="424"/>
      <c r="M10" s="424"/>
      <c r="N10" s="424"/>
      <c r="O10" s="424"/>
    </row>
    <row r="11" spans="1:15" s="78" customFormat="1" ht="15.75" x14ac:dyDescent="0.25">
      <c r="A11" s="424" t="s">
        <v>230</v>
      </c>
      <c r="B11" s="424"/>
      <c r="C11" s="424"/>
      <c r="D11" s="424"/>
      <c r="E11" s="424"/>
      <c r="F11" s="424"/>
      <c r="G11" s="424"/>
      <c r="H11" s="424"/>
      <c r="I11" s="424"/>
      <c r="J11" s="424"/>
      <c r="K11" s="424"/>
      <c r="L11" s="424"/>
      <c r="M11" s="424"/>
      <c r="N11" s="424"/>
      <c r="O11" s="424"/>
    </row>
    <row r="12" spans="1:15" s="78" customFormat="1" ht="15.75" x14ac:dyDescent="0.25">
      <c r="A12" s="424" t="s">
        <v>231</v>
      </c>
      <c r="B12" s="424"/>
      <c r="C12" s="424"/>
      <c r="D12" s="424"/>
      <c r="E12" s="424"/>
      <c r="F12" s="424"/>
      <c r="G12" s="424"/>
      <c r="H12" s="424"/>
      <c r="I12" s="424"/>
      <c r="J12" s="424"/>
      <c r="K12" s="424"/>
      <c r="L12" s="424"/>
      <c r="M12" s="424"/>
      <c r="N12" s="424"/>
      <c r="O12" s="424"/>
    </row>
    <row r="13" spans="1:15" s="78" customFormat="1" ht="15.75" x14ac:dyDescent="0.25">
      <c r="A13" s="424" t="s">
        <v>232</v>
      </c>
      <c r="B13" s="424"/>
      <c r="C13" s="424"/>
      <c r="D13" s="424"/>
      <c r="E13" s="424"/>
      <c r="F13" s="424"/>
      <c r="G13" s="424"/>
      <c r="H13" s="424"/>
      <c r="I13" s="424"/>
      <c r="J13" s="424"/>
      <c r="K13" s="424"/>
      <c r="L13" s="424"/>
      <c r="M13" s="424"/>
      <c r="N13" s="424"/>
      <c r="O13" s="424"/>
    </row>
    <row r="14" spans="1:15" s="78" customFormat="1" ht="15.75" x14ac:dyDescent="0.25">
      <c r="A14" s="424" t="s">
        <v>233</v>
      </c>
      <c r="B14" s="424"/>
      <c r="C14" s="424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4"/>
      <c r="O14" s="424"/>
    </row>
    <row r="15" spans="1:15" s="78" customFormat="1" ht="15.75" x14ac:dyDescent="0.25">
      <c r="A15" s="424" t="s">
        <v>234</v>
      </c>
      <c r="B15" s="424"/>
      <c r="C15" s="424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4"/>
      <c r="O15" s="424"/>
    </row>
    <row r="16" spans="1:15" s="78" customFormat="1" ht="22.5" customHeight="1" x14ac:dyDescent="0.25">
      <c r="A16" s="424" t="s">
        <v>235</v>
      </c>
      <c r="B16" s="424"/>
      <c r="C16" s="424"/>
      <c r="D16" s="424"/>
      <c r="E16" s="424"/>
      <c r="F16" s="424"/>
      <c r="G16" s="424"/>
      <c r="H16" s="424"/>
      <c r="I16" s="424"/>
      <c r="J16" s="424"/>
      <c r="K16" s="424"/>
      <c r="L16" s="424"/>
      <c r="M16" s="424"/>
      <c r="N16" s="424"/>
      <c r="O16" s="424"/>
    </row>
    <row r="17" spans="1:18" s="78" customFormat="1" ht="22.5" customHeight="1" x14ac:dyDescent="0.25">
      <c r="A17" s="424" t="s">
        <v>236</v>
      </c>
      <c r="B17" s="424"/>
      <c r="C17" s="424"/>
      <c r="D17" s="424"/>
      <c r="E17" s="424"/>
      <c r="F17" s="424"/>
      <c r="G17" s="424"/>
      <c r="H17" s="424"/>
      <c r="I17" s="424"/>
      <c r="J17" s="424"/>
      <c r="K17" s="424"/>
      <c r="L17" s="424"/>
      <c r="M17" s="424"/>
      <c r="N17" s="424"/>
      <c r="O17" s="424"/>
    </row>
    <row r="18" spans="1:18" s="78" customFormat="1" ht="18.75" customHeight="1" x14ac:dyDescent="0.25">
      <c r="A18" s="425" t="s">
        <v>237</v>
      </c>
      <c r="B18" s="425"/>
      <c r="C18" s="425"/>
      <c r="D18" s="425"/>
      <c r="E18" s="425"/>
      <c r="F18" s="425"/>
      <c r="G18" s="425"/>
      <c r="H18" s="425"/>
      <c r="I18" s="425"/>
      <c r="J18" s="425"/>
      <c r="K18" s="425"/>
      <c r="L18" s="425"/>
      <c r="M18" s="425"/>
      <c r="N18" s="425"/>
      <c r="O18" s="425"/>
    </row>
    <row r="19" spans="1:18" s="78" customFormat="1" ht="15.75" x14ac:dyDescent="0.25">
      <c r="A19" s="76"/>
    </row>
    <row r="20" spans="1:18" s="78" customFormat="1" ht="18.75" x14ac:dyDescent="0.25">
      <c r="A20" s="425" t="s">
        <v>238</v>
      </c>
      <c r="B20" s="425"/>
      <c r="C20" s="425"/>
      <c r="D20" s="425"/>
      <c r="E20" s="425"/>
      <c r="F20" s="425"/>
      <c r="G20" s="425"/>
      <c r="H20" s="425"/>
      <c r="I20" s="425"/>
      <c r="J20" s="425"/>
      <c r="K20" s="425"/>
      <c r="L20" s="425"/>
      <c r="M20" s="425"/>
      <c r="N20" s="425"/>
      <c r="O20" s="425"/>
    </row>
    <row r="21" spans="1:18" s="78" customFormat="1" ht="18.75" x14ac:dyDescent="0.25">
      <c r="A21" s="74"/>
    </row>
    <row r="22" spans="1:18" s="78" customFormat="1" ht="18.75" x14ac:dyDescent="0.25">
      <c r="A22" s="425"/>
      <c r="B22" s="425"/>
      <c r="C22" s="425"/>
      <c r="D22" s="425"/>
      <c r="E22" s="425"/>
      <c r="F22" s="425"/>
      <c r="G22" s="425"/>
      <c r="H22" s="425"/>
      <c r="I22" s="425"/>
      <c r="J22" s="425"/>
      <c r="K22" s="425"/>
      <c r="L22" s="425"/>
      <c r="M22" s="425"/>
      <c r="N22" s="425"/>
      <c r="O22" s="425"/>
    </row>
    <row r="23" spans="1:18" s="78" customFormat="1" x14ac:dyDescent="0.25">
      <c r="A23" s="80"/>
    </row>
    <row r="24" spans="1:18" s="78" customFormat="1" x14ac:dyDescent="0.25"/>
    <row r="25" spans="1:18" s="78" customFormat="1" x14ac:dyDescent="0.25"/>
    <row r="26" spans="1:18" s="78" customFormat="1" x14ac:dyDescent="0.25"/>
    <row r="28" spans="1:18" ht="24.95" customHeight="1" x14ac:dyDescent="0.25">
      <c r="A28" s="410" t="s">
        <v>412</v>
      </c>
      <c r="B28" s="410"/>
      <c r="C28" s="410"/>
      <c r="D28" s="410"/>
      <c r="E28" s="410"/>
      <c r="F28" s="410"/>
      <c r="G28" s="410"/>
      <c r="H28" s="410"/>
      <c r="I28" s="410"/>
      <c r="J28" s="410"/>
      <c r="K28" s="410"/>
      <c r="L28" s="410"/>
      <c r="M28" s="410"/>
      <c r="N28" s="410"/>
      <c r="O28" s="410"/>
      <c r="P28" s="410"/>
      <c r="Q28" s="64"/>
      <c r="R28" s="64"/>
    </row>
    <row r="29" spans="1:18" ht="24.95" customHeight="1" x14ac:dyDescent="0.25">
      <c r="A29" s="4" t="s">
        <v>1</v>
      </c>
      <c r="B29" s="4" t="s">
        <v>2</v>
      </c>
      <c r="C29" s="4" t="s">
        <v>3</v>
      </c>
      <c r="D29" s="4" t="s">
        <v>23</v>
      </c>
      <c r="E29" s="5" t="s">
        <v>24</v>
      </c>
      <c r="F29" s="4" t="s">
        <v>25</v>
      </c>
      <c r="G29" s="4" t="s">
        <v>26</v>
      </c>
      <c r="H29" s="4" t="s">
        <v>27</v>
      </c>
      <c r="I29" s="4" t="s">
        <v>28</v>
      </c>
      <c r="J29" s="4" t="s">
        <v>29</v>
      </c>
      <c r="K29" s="4" t="s">
        <v>30</v>
      </c>
      <c r="L29" s="4" t="s">
        <v>31</v>
      </c>
      <c r="M29" s="4" t="s">
        <v>13</v>
      </c>
      <c r="N29" s="4" t="s">
        <v>14</v>
      </c>
      <c r="O29" s="4" t="s">
        <v>32</v>
      </c>
      <c r="P29" s="4" t="s">
        <v>33</v>
      </c>
      <c r="Q29" s="81"/>
      <c r="R29" s="81"/>
    </row>
    <row r="30" spans="1:18" ht="15" customHeight="1" x14ac:dyDescent="0.25">
      <c r="A30" s="4">
        <v>1</v>
      </c>
      <c r="B30" s="4">
        <v>2</v>
      </c>
      <c r="C30" s="4">
        <v>3</v>
      </c>
      <c r="D30" s="4">
        <v>4</v>
      </c>
      <c r="E30" s="4">
        <v>5</v>
      </c>
      <c r="F30" s="4">
        <v>6</v>
      </c>
      <c r="G30" s="4">
        <v>7</v>
      </c>
      <c r="H30" s="4">
        <v>8</v>
      </c>
      <c r="I30" s="4">
        <v>9</v>
      </c>
      <c r="J30" s="4">
        <v>10</v>
      </c>
      <c r="K30" s="4">
        <v>11</v>
      </c>
      <c r="L30" s="4">
        <v>12</v>
      </c>
      <c r="M30" s="4">
        <v>13</v>
      </c>
      <c r="N30" s="4">
        <v>14</v>
      </c>
      <c r="O30" s="4">
        <v>15</v>
      </c>
      <c r="P30" s="4">
        <v>16</v>
      </c>
      <c r="Q30" s="81"/>
      <c r="R30" s="81"/>
    </row>
    <row r="31" spans="1:18" ht="24.95" customHeight="1" x14ac:dyDescent="0.25">
      <c r="A31" s="419" t="s">
        <v>0</v>
      </c>
      <c r="B31" s="434"/>
      <c r="C31" s="434"/>
      <c r="D31" s="434"/>
      <c r="E31" s="434"/>
      <c r="F31" s="434"/>
      <c r="G31" s="434"/>
      <c r="H31" s="434"/>
      <c r="I31" s="434"/>
      <c r="J31" s="434"/>
      <c r="K31" s="434"/>
      <c r="L31" s="434"/>
      <c r="M31" s="434"/>
      <c r="N31" s="434"/>
      <c r="O31" s="434"/>
      <c r="P31" s="435"/>
      <c r="Q31" s="82"/>
      <c r="R31" s="82"/>
    </row>
    <row r="32" spans="1:18" ht="16.5" customHeight="1" x14ac:dyDescent="0.25">
      <c r="A32" s="411" t="s">
        <v>17</v>
      </c>
      <c r="B32" s="412"/>
      <c r="C32" s="412"/>
      <c r="D32" s="412"/>
      <c r="E32" s="412"/>
      <c r="F32" s="412"/>
      <c r="G32" s="412"/>
      <c r="H32" s="412"/>
      <c r="I32" s="412"/>
      <c r="J32" s="412"/>
      <c r="K32" s="412"/>
      <c r="L32" s="412"/>
      <c r="M32" s="412"/>
      <c r="N32" s="412"/>
      <c r="O32" s="412"/>
      <c r="P32" s="413"/>
      <c r="Q32" s="66"/>
      <c r="R32" s="66"/>
    </row>
    <row r="33" spans="1:22" ht="16.5" customHeight="1" x14ac:dyDescent="0.25">
      <c r="A33" s="411" t="s">
        <v>20</v>
      </c>
      <c r="B33" s="412"/>
      <c r="C33" s="412"/>
      <c r="D33" s="412"/>
      <c r="E33" s="412"/>
      <c r="F33" s="412"/>
      <c r="G33" s="412"/>
      <c r="H33" s="412"/>
      <c r="I33" s="412"/>
      <c r="J33" s="412"/>
      <c r="K33" s="412"/>
      <c r="L33" s="412"/>
      <c r="M33" s="412"/>
      <c r="N33" s="412"/>
      <c r="O33" s="412"/>
      <c r="P33" s="413"/>
      <c r="Q33" s="66"/>
      <c r="R33" s="66"/>
      <c r="S33" s="1"/>
      <c r="T33" s="1"/>
      <c r="U33" s="1"/>
      <c r="V33" s="1"/>
    </row>
    <row r="34" spans="1:22" ht="24.95" customHeight="1" x14ac:dyDescent="0.25">
      <c r="A34" s="436">
        <v>900102</v>
      </c>
      <c r="B34" s="431" t="s">
        <v>204</v>
      </c>
      <c r="C34" s="433" t="s">
        <v>202</v>
      </c>
      <c r="D34" s="286">
        <v>6.3</v>
      </c>
      <c r="E34" s="286">
        <v>1.6</v>
      </c>
      <c r="F34" s="286">
        <v>1</v>
      </c>
      <c r="G34" s="286">
        <v>0.91</v>
      </c>
      <c r="H34" s="286">
        <v>30</v>
      </c>
      <c r="I34" s="286">
        <f>ROUND((T34/S34),0)</f>
        <v>62</v>
      </c>
      <c r="J34" s="286">
        <v>1.4</v>
      </c>
      <c r="K34" s="286">
        <v>0.1</v>
      </c>
      <c r="L34" s="286">
        <v>0</v>
      </c>
      <c r="M34" s="287" t="s">
        <v>34</v>
      </c>
      <c r="N34" s="287">
        <v>2908</v>
      </c>
      <c r="O34" s="286">
        <f>ROUND((D34*E34*F34*G34*J34*K34/(1/3*H34)*(1-L34)),4)</f>
        <v>0.12839999999999999</v>
      </c>
      <c r="P34" s="286">
        <f>ROUND((((D34*(3.6*E34*F34*G34/H34)*I34*J34*K34)*(1-L34)/1000)),4)</f>
        <v>9.5999999999999992E-3</v>
      </c>
      <c r="Q34" s="83"/>
      <c r="R34" s="83"/>
      <c r="S34" s="2">
        <v>20</v>
      </c>
      <c r="T34" s="2">
        <f>3120*0.4</f>
        <v>1248</v>
      </c>
      <c r="U34" s="2"/>
      <c r="V34" s="2"/>
    </row>
    <row r="35" spans="1:22" ht="24.95" customHeight="1" x14ac:dyDescent="0.25">
      <c r="A35" s="437"/>
      <c r="B35" s="432"/>
      <c r="C35" s="432"/>
      <c r="D35" s="286">
        <v>6.3</v>
      </c>
      <c r="E35" s="286">
        <v>1.6</v>
      </c>
      <c r="F35" s="286">
        <v>1.4</v>
      </c>
      <c r="G35" s="286">
        <v>0.91</v>
      </c>
      <c r="H35" s="286">
        <v>70</v>
      </c>
      <c r="I35" s="286">
        <f>ROUND((T35/S35),0)</f>
        <v>94</v>
      </c>
      <c r="J35" s="286">
        <v>1.4</v>
      </c>
      <c r="K35" s="286">
        <v>0.1</v>
      </c>
      <c r="L35" s="286">
        <v>0</v>
      </c>
      <c r="M35" s="287" t="s">
        <v>34</v>
      </c>
      <c r="N35" s="287">
        <v>2908</v>
      </c>
      <c r="O35" s="286">
        <f>ROUND((D35*E35*F35*G35*J35*K35/(1/3*H35)*(1-L35)),4)</f>
        <v>7.7100000000000002E-2</v>
      </c>
      <c r="P35" s="286">
        <f>ROUND((((D35*(3.6*E35*F35*G35/H35)*I35*J35*K35)*(1-L35)/1000)),4)</f>
        <v>8.6999999999999994E-3</v>
      </c>
      <c r="Q35" s="83"/>
      <c r="R35" s="83"/>
      <c r="S35" s="2">
        <v>20</v>
      </c>
      <c r="T35" s="2">
        <f>3120*0.6</f>
        <v>1872</v>
      </c>
      <c r="U35" s="2"/>
      <c r="V35" s="2"/>
    </row>
    <row r="36" spans="1:22" ht="24.95" customHeight="1" x14ac:dyDescent="0.25">
      <c r="A36" s="426" t="s">
        <v>342</v>
      </c>
      <c r="B36" s="429"/>
      <c r="C36" s="429"/>
      <c r="D36" s="429"/>
      <c r="E36" s="429"/>
      <c r="F36" s="429"/>
      <c r="G36" s="429"/>
      <c r="H36" s="429"/>
      <c r="I36" s="429"/>
      <c r="J36" s="429"/>
      <c r="K36" s="429"/>
      <c r="L36" s="430"/>
      <c r="M36" s="294" t="s">
        <v>34</v>
      </c>
      <c r="N36" s="294">
        <v>2908</v>
      </c>
      <c r="O36" s="296">
        <f>O34+O35</f>
        <v>0.20549999999999999</v>
      </c>
      <c r="P36" s="296">
        <f>P34+P35</f>
        <v>1.8299999999999997E-2</v>
      </c>
      <c r="Q36" s="72">
        <f>O36</f>
        <v>0.20549999999999999</v>
      </c>
      <c r="R36" s="72">
        <f>P36</f>
        <v>1.8299999999999997E-2</v>
      </c>
      <c r="S36" s="2"/>
      <c r="T36" s="2"/>
      <c r="U36" s="2"/>
      <c r="V36" s="61">
        <f>T34+T35</f>
        <v>3120</v>
      </c>
    </row>
    <row r="37" spans="1:22" ht="16.5" customHeight="1" x14ac:dyDescent="0.25">
      <c r="A37" s="411" t="s">
        <v>21</v>
      </c>
      <c r="B37" s="412"/>
      <c r="C37" s="412"/>
      <c r="D37" s="412"/>
      <c r="E37" s="412"/>
      <c r="F37" s="412"/>
      <c r="G37" s="412"/>
      <c r="H37" s="412"/>
      <c r="I37" s="412"/>
      <c r="J37" s="412"/>
      <c r="K37" s="412"/>
      <c r="L37" s="412"/>
      <c r="M37" s="412"/>
      <c r="N37" s="412"/>
      <c r="O37" s="412"/>
      <c r="P37" s="413"/>
      <c r="Q37" s="66"/>
      <c r="R37" s="66"/>
    </row>
    <row r="38" spans="1:22" ht="16.5" customHeight="1" x14ac:dyDescent="0.25">
      <c r="A38" s="411" t="s">
        <v>20</v>
      </c>
      <c r="B38" s="412"/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2"/>
      <c r="O38" s="412"/>
      <c r="P38" s="413"/>
      <c r="Q38" s="66"/>
      <c r="R38" s="66"/>
      <c r="S38" s="1"/>
      <c r="T38" s="1"/>
      <c r="U38" s="1"/>
      <c r="V38" s="1"/>
    </row>
    <row r="39" spans="1:22" ht="24.95" customHeight="1" x14ac:dyDescent="0.25">
      <c r="A39" s="436">
        <v>900102</v>
      </c>
      <c r="B39" s="431" t="s">
        <v>204</v>
      </c>
      <c r="C39" s="433" t="s">
        <v>202</v>
      </c>
      <c r="D39" s="286">
        <v>6.3</v>
      </c>
      <c r="E39" s="286">
        <v>1.6</v>
      </c>
      <c r="F39" s="286">
        <v>1</v>
      </c>
      <c r="G39" s="286">
        <v>0.91</v>
      </c>
      <c r="H39" s="286">
        <v>30</v>
      </c>
      <c r="I39" s="286">
        <f>ROUND((T39/S39),0)</f>
        <v>187</v>
      </c>
      <c r="J39" s="286">
        <v>1.4</v>
      </c>
      <c r="K39" s="286">
        <v>0.1</v>
      </c>
      <c r="L39" s="286">
        <v>0</v>
      </c>
      <c r="M39" s="287" t="s">
        <v>34</v>
      </c>
      <c r="N39" s="287">
        <v>2908</v>
      </c>
      <c r="O39" s="286">
        <f>ROUND((D39*E39*F39*G39*J39*K39/(1/3*H39)*(1-L39)),4)</f>
        <v>0.12839999999999999</v>
      </c>
      <c r="P39" s="286">
        <f>ROUND((((D39*(3.6*E39*F39*G39/H39)*I39*J39*K39)*(1-L39)/1000)),4)</f>
        <v>2.8799999999999999E-2</v>
      </c>
      <c r="Q39" s="83"/>
      <c r="R39" s="83"/>
      <c r="S39" s="2">
        <v>20</v>
      </c>
      <c r="T39" s="2">
        <f>9360*0.4</f>
        <v>3744</v>
      </c>
      <c r="U39" s="2"/>
      <c r="V39" s="2"/>
    </row>
    <row r="40" spans="1:22" ht="24.95" customHeight="1" x14ac:dyDescent="0.25">
      <c r="A40" s="437"/>
      <c r="B40" s="432"/>
      <c r="C40" s="432"/>
      <c r="D40" s="286">
        <v>6.3</v>
      </c>
      <c r="E40" s="286">
        <v>1.6</v>
      </c>
      <c r="F40" s="286">
        <v>1.4</v>
      </c>
      <c r="G40" s="286">
        <v>0.91</v>
      </c>
      <c r="H40" s="286">
        <v>70</v>
      </c>
      <c r="I40" s="286">
        <f>ROUND((T40/S40),0)</f>
        <v>281</v>
      </c>
      <c r="J40" s="286">
        <v>1.4</v>
      </c>
      <c r="K40" s="286">
        <v>0.1</v>
      </c>
      <c r="L40" s="286">
        <v>0</v>
      </c>
      <c r="M40" s="287" t="s">
        <v>34</v>
      </c>
      <c r="N40" s="287">
        <v>2908</v>
      </c>
      <c r="O40" s="286">
        <f>ROUND((D40*E40*F40*G40*J40*K40/(1/3*H40)*(1-L40)),4)</f>
        <v>7.7100000000000002E-2</v>
      </c>
      <c r="P40" s="286">
        <f>ROUND((((D40*(3.6*E40*F40*G40/H40)*I40*J40*K40)*(1-L40)/1000)),4)</f>
        <v>2.5999999999999999E-2</v>
      </c>
      <c r="Q40" s="83"/>
      <c r="R40" s="83"/>
      <c r="S40" s="2">
        <v>20</v>
      </c>
      <c r="T40" s="2">
        <f>9360*0.6</f>
        <v>5616</v>
      </c>
      <c r="U40" s="2"/>
      <c r="V40" s="2"/>
    </row>
    <row r="41" spans="1:22" ht="24.95" customHeight="1" x14ac:dyDescent="0.25">
      <c r="A41" s="426" t="s">
        <v>342</v>
      </c>
      <c r="B41" s="429"/>
      <c r="C41" s="429"/>
      <c r="D41" s="429"/>
      <c r="E41" s="429"/>
      <c r="F41" s="429"/>
      <c r="G41" s="429"/>
      <c r="H41" s="429"/>
      <c r="I41" s="429"/>
      <c r="J41" s="429"/>
      <c r="K41" s="429"/>
      <c r="L41" s="430"/>
      <c r="M41" s="294" t="s">
        <v>34</v>
      </c>
      <c r="N41" s="294">
        <v>2908</v>
      </c>
      <c r="O41" s="296">
        <f>O39+O40</f>
        <v>0.20549999999999999</v>
      </c>
      <c r="P41" s="296">
        <f>P39+P40</f>
        <v>5.4800000000000001E-2</v>
      </c>
      <c r="Q41" s="72">
        <f>O41</f>
        <v>0.20549999999999999</v>
      </c>
      <c r="R41" s="72">
        <f>P41</f>
        <v>5.4800000000000001E-2</v>
      </c>
      <c r="S41" s="2"/>
      <c r="T41" s="2"/>
      <c r="U41" s="2"/>
      <c r="V41" s="61">
        <f>T39+T40</f>
        <v>9360</v>
      </c>
    </row>
    <row r="42" spans="1:22" ht="15.75" customHeight="1" x14ac:dyDescent="0.25">
      <c r="A42" s="411" t="s">
        <v>22</v>
      </c>
      <c r="B42" s="412"/>
      <c r="C42" s="412"/>
      <c r="D42" s="412"/>
      <c r="E42" s="412"/>
      <c r="F42" s="412"/>
      <c r="G42" s="412"/>
      <c r="H42" s="412"/>
      <c r="I42" s="412"/>
      <c r="J42" s="412"/>
      <c r="K42" s="412"/>
      <c r="L42" s="412"/>
      <c r="M42" s="412"/>
      <c r="N42" s="412"/>
      <c r="O42" s="412"/>
      <c r="P42" s="413"/>
      <c r="Q42" s="66"/>
      <c r="R42" s="66"/>
    </row>
    <row r="43" spans="1:22" ht="15.75" customHeight="1" x14ac:dyDescent="0.25">
      <c r="A43" s="411" t="s">
        <v>20</v>
      </c>
      <c r="B43" s="412"/>
      <c r="C43" s="412"/>
      <c r="D43" s="412"/>
      <c r="E43" s="412"/>
      <c r="F43" s="412"/>
      <c r="G43" s="412"/>
      <c r="H43" s="412"/>
      <c r="I43" s="412"/>
      <c r="J43" s="412"/>
      <c r="K43" s="412"/>
      <c r="L43" s="412"/>
      <c r="M43" s="412"/>
      <c r="N43" s="412"/>
      <c r="O43" s="412"/>
      <c r="P43" s="413"/>
      <c r="Q43" s="66"/>
      <c r="R43" s="66"/>
      <c r="S43" s="1"/>
      <c r="T43" s="1"/>
      <c r="U43" s="1"/>
      <c r="V43" s="1"/>
    </row>
    <row r="44" spans="1:22" ht="24.95" customHeight="1" x14ac:dyDescent="0.25">
      <c r="A44" s="297">
        <v>900102</v>
      </c>
      <c r="B44" s="284" t="s">
        <v>204</v>
      </c>
      <c r="C44" s="285" t="s">
        <v>202</v>
      </c>
      <c r="D44" s="286">
        <v>6.3</v>
      </c>
      <c r="E44" s="286">
        <v>1.6</v>
      </c>
      <c r="F44" s="286">
        <v>1</v>
      </c>
      <c r="G44" s="286">
        <v>0.91</v>
      </c>
      <c r="H44" s="286">
        <v>30</v>
      </c>
      <c r="I44" s="286">
        <f>ROUND((T44/S44),0)</f>
        <v>156</v>
      </c>
      <c r="J44" s="286">
        <v>1.4</v>
      </c>
      <c r="K44" s="286">
        <v>0.1</v>
      </c>
      <c r="L44" s="286">
        <v>0</v>
      </c>
      <c r="M44" s="287" t="s">
        <v>34</v>
      </c>
      <c r="N44" s="287">
        <v>2908</v>
      </c>
      <c r="O44" s="286">
        <f>ROUND((D44*E44*F44*G44*J44*K44/(1/3*H44)*(1-L44)),4)</f>
        <v>0.12839999999999999</v>
      </c>
      <c r="P44" s="286">
        <f>ROUND((((D44*(3.6*E44*F44*G44/H44)*I44*J44*K44)*(1-L44)/1000)),4)</f>
        <v>2.4E-2</v>
      </c>
      <c r="Q44" s="72">
        <f>O44</f>
        <v>0.12839999999999999</v>
      </c>
      <c r="R44" s="72">
        <f>P44</f>
        <v>2.4E-2</v>
      </c>
      <c r="S44" s="2">
        <v>20</v>
      </c>
      <c r="T44" s="2">
        <f>3120*1</f>
        <v>3120</v>
      </c>
      <c r="U44">
        <f>P44/O44*1000000/3600</f>
        <v>51.921079958463146</v>
      </c>
    </row>
  </sheetData>
  <mergeCells count="34">
    <mergeCell ref="A18:O18"/>
    <mergeCell ref="A20:O20"/>
    <mergeCell ref="A22:O22"/>
    <mergeCell ref="A13:O13"/>
    <mergeCell ref="A14:O14"/>
    <mergeCell ref="A15:O15"/>
    <mergeCell ref="A16:O16"/>
    <mergeCell ref="A17:O17"/>
    <mergeCell ref="A8:O8"/>
    <mergeCell ref="A9:O9"/>
    <mergeCell ref="A10:O10"/>
    <mergeCell ref="A11:O11"/>
    <mergeCell ref="A12:O12"/>
    <mergeCell ref="A1:O1"/>
    <mergeCell ref="A3:O3"/>
    <mergeCell ref="A4:O4"/>
    <mergeCell ref="A6:O6"/>
    <mergeCell ref="A7:O7"/>
    <mergeCell ref="A41:L41"/>
    <mergeCell ref="A42:P42"/>
    <mergeCell ref="A43:P43"/>
    <mergeCell ref="A28:P28"/>
    <mergeCell ref="A32:P32"/>
    <mergeCell ref="A33:P33"/>
    <mergeCell ref="B34:B35"/>
    <mergeCell ref="C34:C35"/>
    <mergeCell ref="A31:P31"/>
    <mergeCell ref="A34:A35"/>
    <mergeCell ref="A39:A40"/>
    <mergeCell ref="A36:L36"/>
    <mergeCell ref="A37:P37"/>
    <mergeCell ref="A38:P38"/>
    <mergeCell ref="B39:B40"/>
    <mergeCell ref="C39:C40"/>
  </mergeCells>
  <pageMargins left="0.31496062992125984" right="0.31496062992125984" top="0.78740157480314965" bottom="0.39370078740157483" header="0.31496062992125984" footer="0.19685039370078741"/>
  <pageSetup paperSize="9" firstPageNumber="241" orientation="landscape" useFirstPageNumber="1" horizontalDpi="1200" verticalDpi="1200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Z68"/>
  <sheetViews>
    <sheetView view="pageBreakPreview" topLeftCell="A53" zoomScaleNormal="100" zoomScaleSheetLayoutView="100" workbookViewId="0">
      <selection activeCell="W73" sqref="V73:W74"/>
    </sheetView>
  </sheetViews>
  <sheetFormatPr defaultRowHeight="15" x14ac:dyDescent="0.25"/>
  <cols>
    <col min="1" max="1" width="6.85546875" customWidth="1"/>
    <col min="2" max="2" width="17.5703125" customWidth="1"/>
    <col min="3" max="3" width="13" customWidth="1"/>
    <col min="4" max="4" width="6" customWidth="1"/>
    <col min="5" max="6" width="5.5703125" customWidth="1"/>
    <col min="7" max="7" width="5.28515625" customWidth="1"/>
    <col min="8" max="8" width="5.42578125" customWidth="1"/>
    <col min="9" max="9" width="5" customWidth="1"/>
    <col min="10" max="10" width="4.7109375" customWidth="1"/>
    <col min="11" max="11" width="4.85546875" customWidth="1"/>
    <col min="12" max="12" width="6.85546875" customWidth="1"/>
    <col min="13" max="13" width="8.140625" customWidth="1"/>
    <col min="14" max="14" width="16.7109375" customWidth="1"/>
    <col min="15" max="15" width="5" customWidth="1"/>
    <col min="16" max="16" width="4.5703125" customWidth="1"/>
    <col min="17" max="17" width="9.140625" customWidth="1"/>
    <col min="18" max="19" width="10.5703125" customWidth="1"/>
  </cols>
  <sheetData>
    <row r="1" spans="1:15" s="78" customFormat="1" ht="18.75" x14ac:dyDescent="0.25">
      <c r="A1" s="422" t="s">
        <v>274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</row>
    <row r="2" spans="1:15" s="78" customFormat="1" ht="12.75" customHeight="1" x14ac:dyDescent="0.25">
      <c r="A2" s="74"/>
    </row>
    <row r="3" spans="1:15" s="79" customFormat="1" ht="15.75" x14ac:dyDescent="0.25">
      <c r="A3" s="423" t="s">
        <v>211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</row>
    <row r="4" spans="1:15" s="79" customFormat="1" ht="15.75" x14ac:dyDescent="0.25">
      <c r="A4" s="424" t="s">
        <v>212</v>
      </c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</row>
    <row r="5" spans="1:15" s="78" customFormat="1" ht="18.75" x14ac:dyDescent="0.25">
      <c r="A5" s="74"/>
    </row>
    <row r="6" spans="1:15" s="78" customFormat="1" ht="28.5" customHeight="1" x14ac:dyDescent="0.25">
      <c r="A6" s="425" t="s">
        <v>262</v>
      </c>
      <c r="B6" s="425"/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  <c r="N6" s="425"/>
      <c r="O6" s="425"/>
    </row>
    <row r="7" spans="1:15" s="78" customFormat="1" ht="25.5" customHeight="1" x14ac:dyDescent="0.25">
      <c r="A7" s="422" t="s">
        <v>361</v>
      </c>
      <c r="B7" s="422"/>
      <c r="C7" s="422"/>
      <c r="D7" s="422"/>
      <c r="E7" s="422"/>
      <c r="F7" s="422"/>
      <c r="G7" s="422"/>
      <c r="H7" s="422"/>
      <c r="I7" s="422"/>
      <c r="J7" s="422"/>
      <c r="K7" s="422"/>
      <c r="L7" s="422"/>
      <c r="M7" s="422"/>
      <c r="N7" s="422"/>
      <c r="O7" s="422"/>
    </row>
    <row r="8" spans="1:15" s="78" customFormat="1" ht="27.75" customHeight="1" x14ac:dyDescent="0.25">
      <c r="A8" s="425" t="s">
        <v>263</v>
      </c>
      <c r="B8" s="425"/>
      <c r="C8" s="425"/>
      <c r="D8" s="425"/>
      <c r="E8" s="425"/>
      <c r="F8" s="425"/>
      <c r="G8" s="425"/>
      <c r="H8" s="425"/>
      <c r="I8" s="425"/>
      <c r="J8" s="425"/>
      <c r="K8" s="425"/>
      <c r="L8" s="425"/>
      <c r="M8" s="425"/>
      <c r="N8" s="425"/>
      <c r="O8" s="425"/>
    </row>
    <row r="9" spans="1:15" s="78" customFormat="1" ht="25.5" customHeight="1" x14ac:dyDescent="0.25">
      <c r="A9" s="422" t="s">
        <v>264</v>
      </c>
      <c r="B9" s="422"/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2"/>
      <c r="N9" s="422"/>
      <c r="O9" s="422"/>
    </row>
    <row r="10" spans="1:15" s="78" customFormat="1" ht="15.75" x14ac:dyDescent="0.25">
      <c r="A10" s="424" t="s">
        <v>229</v>
      </c>
      <c r="B10" s="424"/>
      <c r="C10" s="424"/>
      <c r="D10" s="424"/>
      <c r="E10" s="424"/>
      <c r="F10" s="424"/>
      <c r="G10" s="424"/>
      <c r="H10" s="424"/>
      <c r="I10" s="424"/>
      <c r="J10" s="424"/>
      <c r="K10" s="424"/>
      <c r="L10" s="424"/>
      <c r="M10" s="424"/>
      <c r="N10" s="424"/>
      <c r="O10" s="424"/>
    </row>
    <row r="11" spans="1:15" s="79" customFormat="1" ht="35.1" customHeight="1" x14ac:dyDescent="0.25">
      <c r="A11" s="450" t="s">
        <v>265</v>
      </c>
      <c r="B11" s="450"/>
      <c r="C11" s="450"/>
      <c r="D11" s="450"/>
      <c r="E11" s="450"/>
      <c r="F11" s="450"/>
      <c r="G11" s="450"/>
      <c r="H11" s="450"/>
      <c r="I11" s="450"/>
      <c r="J11" s="450"/>
      <c r="K11" s="450"/>
      <c r="L11" s="450"/>
      <c r="M11" s="450"/>
      <c r="N11" s="450"/>
      <c r="O11" s="450"/>
    </row>
    <row r="12" spans="1:15" s="79" customFormat="1" ht="15.75" x14ac:dyDescent="0.25">
      <c r="A12" s="450" t="s">
        <v>266</v>
      </c>
      <c r="B12" s="450"/>
      <c r="C12" s="450"/>
      <c r="D12" s="450"/>
      <c r="E12" s="450"/>
      <c r="F12" s="450"/>
      <c r="G12" s="450"/>
      <c r="H12" s="450"/>
      <c r="I12" s="450"/>
      <c r="J12" s="450"/>
      <c r="K12" s="450"/>
      <c r="L12" s="450"/>
      <c r="M12" s="450"/>
      <c r="N12" s="450"/>
      <c r="O12" s="450"/>
    </row>
    <row r="13" spans="1:15" s="79" customFormat="1" ht="15.75" x14ac:dyDescent="0.25">
      <c r="A13" s="450" t="s">
        <v>267</v>
      </c>
      <c r="B13" s="450"/>
      <c r="C13" s="450"/>
      <c r="D13" s="450"/>
      <c r="E13" s="450"/>
      <c r="F13" s="450"/>
      <c r="G13" s="450"/>
      <c r="H13" s="450"/>
      <c r="I13" s="450"/>
      <c r="J13" s="450"/>
      <c r="K13" s="450"/>
      <c r="L13" s="450"/>
      <c r="M13" s="450"/>
      <c r="N13" s="450"/>
      <c r="O13" s="450"/>
    </row>
    <row r="14" spans="1:15" s="79" customFormat="1" ht="35.1" customHeight="1" x14ac:dyDescent="0.25">
      <c r="A14" s="450" t="s">
        <v>268</v>
      </c>
      <c r="B14" s="450"/>
      <c r="C14" s="450"/>
      <c r="D14" s="450"/>
      <c r="E14" s="450"/>
      <c r="F14" s="450"/>
      <c r="G14" s="450"/>
      <c r="H14" s="450"/>
      <c r="I14" s="450"/>
      <c r="J14" s="450"/>
      <c r="K14" s="450"/>
      <c r="L14" s="450"/>
      <c r="M14" s="450"/>
      <c r="N14" s="450"/>
      <c r="O14" s="450"/>
    </row>
    <row r="15" spans="1:15" s="79" customFormat="1" ht="15" customHeight="1" x14ac:dyDescent="0.25">
      <c r="A15" s="450" t="s">
        <v>269</v>
      </c>
      <c r="B15" s="450"/>
      <c r="C15" s="450"/>
      <c r="D15" s="450"/>
      <c r="E15" s="450"/>
      <c r="F15" s="450"/>
      <c r="G15" s="450"/>
      <c r="H15" s="450"/>
      <c r="I15" s="450"/>
      <c r="J15" s="450"/>
      <c r="K15" s="450"/>
      <c r="L15" s="450"/>
      <c r="M15" s="450"/>
      <c r="N15" s="450"/>
      <c r="O15" s="450"/>
    </row>
    <row r="16" spans="1:15" s="79" customFormat="1" ht="15" customHeight="1" x14ac:dyDescent="0.25">
      <c r="A16" s="450" t="s">
        <v>270</v>
      </c>
      <c r="B16" s="450"/>
      <c r="C16" s="450"/>
      <c r="D16" s="450"/>
      <c r="E16" s="450"/>
      <c r="F16" s="450"/>
      <c r="G16" s="450"/>
      <c r="H16" s="450"/>
      <c r="I16" s="450"/>
      <c r="J16" s="450"/>
      <c r="K16" s="450"/>
      <c r="L16" s="450"/>
      <c r="M16" s="450"/>
      <c r="N16" s="450"/>
      <c r="O16" s="450"/>
    </row>
    <row r="17" spans="1:26" s="79" customFormat="1" ht="15" customHeight="1" x14ac:dyDescent="0.25">
      <c r="A17" s="450" t="s">
        <v>271</v>
      </c>
      <c r="B17" s="450"/>
      <c r="C17" s="450"/>
      <c r="D17" s="450"/>
      <c r="E17" s="450"/>
      <c r="F17" s="450"/>
      <c r="G17" s="450"/>
      <c r="H17" s="450"/>
      <c r="I17" s="450"/>
      <c r="J17" s="450"/>
      <c r="K17" s="450"/>
      <c r="L17" s="450"/>
      <c r="M17" s="450"/>
      <c r="N17" s="450"/>
      <c r="O17" s="450"/>
    </row>
    <row r="18" spans="1:26" s="79" customFormat="1" ht="35.1" customHeight="1" x14ac:dyDescent="0.25">
      <c r="A18" s="450" t="s">
        <v>272</v>
      </c>
      <c r="B18" s="450"/>
      <c r="C18" s="450"/>
      <c r="D18" s="450"/>
      <c r="E18" s="450"/>
      <c r="F18" s="450"/>
      <c r="G18" s="450"/>
      <c r="H18" s="450"/>
      <c r="I18" s="450"/>
      <c r="J18" s="450"/>
      <c r="K18" s="450"/>
      <c r="L18" s="450"/>
      <c r="M18" s="450"/>
      <c r="N18" s="450"/>
      <c r="O18" s="450"/>
    </row>
    <row r="19" spans="1:26" s="79" customFormat="1" ht="15.75" x14ac:dyDescent="0.25">
      <c r="A19" s="450" t="s">
        <v>273</v>
      </c>
      <c r="B19" s="450"/>
      <c r="C19" s="450"/>
      <c r="D19" s="450"/>
      <c r="E19" s="450"/>
      <c r="F19" s="450"/>
      <c r="G19" s="450"/>
      <c r="H19" s="450"/>
      <c r="I19" s="450"/>
      <c r="J19" s="450"/>
      <c r="K19" s="450"/>
      <c r="L19" s="450"/>
      <c r="M19" s="450"/>
      <c r="N19" s="450"/>
      <c r="O19" s="450"/>
    </row>
    <row r="20" spans="1:26" s="78" customFormat="1" ht="15.75" x14ac:dyDescent="0.25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</row>
    <row r="21" spans="1:26" s="78" customFormat="1" ht="18.75" x14ac:dyDescent="0.25">
      <c r="A21" s="425" t="s">
        <v>260</v>
      </c>
      <c r="B21" s="425"/>
      <c r="C21" s="425"/>
      <c r="D21" s="425"/>
      <c r="E21" s="425"/>
      <c r="F21" s="425"/>
      <c r="G21" s="425"/>
      <c r="H21" s="425"/>
      <c r="I21" s="425"/>
      <c r="J21" s="425"/>
      <c r="K21" s="425"/>
      <c r="L21" s="425"/>
      <c r="M21" s="425"/>
      <c r="N21" s="425"/>
      <c r="O21" s="425"/>
    </row>
    <row r="22" spans="1:26" s="78" customFormat="1" ht="18.75" x14ac:dyDescent="0.25">
      <c r="A22" s="74"/>
    </row>
    <row r="23" spans="1:26" s="78" customFormat="1" x14ac:dyDescent="0.25">
      <c r="A23" s="80"/>
    </row>
    <row r="24" spans="1:26" s="78" customFormat="1" x14ac:dyDescent="0.25"/>
    <row r="25" spans="1:26" s="78" customFormat="1" x14ac:dyDescent="0.25"/>
    <row r="26" spans="1:26" s="78" customFormat="1" x14ac:dyDescent="0.25"/>
    <row r="27" spans="1:26" s="78" customFormat="1" x14ac:dyDescent="0.25"/>
    <row r="28" spans="1:26" s="90" customFormat="1" ht="18.75" x14ac:dyDescent="0.3">
      <c r="A28" s="90" t="s">
        <v>275</v>
      </c>
      <c r="J28" s="91"/>
    </row>
    <row r="29" spans="1:26" s="96" customFormat="1" x14ac:dyDescent="0.25">
      <c r="A29" s="453" t="s">
        <v>54</v>
      </c>
      <c r="B29" s="455" t="s">
        <v>35</v>
      </c>
      <c r="C29" s="455" t="s">
        <v>3</v>
      </c>
      <c r="D29" s="92" t="s">
        <v>55</v>
      </c>
      <c r="E29" s="92" t="s">
        <v>56</v>
      </c>
      <c r="F29" s="93" t="s">
        <v>57</v>
      </c>
      <c r="G29" s="93" t="s">
        <v>58</v>
      </c>
      <c r="H29" s="92" t="s">
        <v>59</v>
      </c>
      <c r="I29" s="92" t="s">
        <v>60</v>
      </c>
      <c r="J29" s="92" t="s">
        <v>61</v>
      </c>
      <c r="K29" s="93" t="s">
        <v>62</v>
      </c>
      <c r="L29" s="93" t="s">
        <v>63</v>
      </c>
      <c r="M29" s="93" t="s">
        <v>64</v>
      </c>
      <c r="N29" s="456" t="s">
        <v>65</v>
      </c>
      <c r="O29" s="453" t="s">
        <v>66</v>
      </c>
      <c r="P29" s="94" t="s">
        <v>48</v>
      </c>
      <c r="Q29" s="451" t="s">
        <v>67</v>
      </c>
      <c r="R29" s="452"/>
      <c r="S29" s="103"/>
      <c r="T29" s="95"/>
      <c r="U29" s="95"/>
      <c r="V29" s="95"/>
      <c r="W29" s="95"/>
      <c r="X29" s="95"/>
      <c r="Y29" s="95"/>
      <c r="Z29" s="95"/>
    </row>
    <row r="30" spans="1:26" s="96" customFormat="1" ht="12.75" customHeight="1" x14ac:dyDescent="0.25">
      <c r="A30" s="454"/>
      <c r="B30" s="455"/>
      <c r="C30" s="455"/>
      <c r="D30" s="97"/>
      <c r="E30" s="98"/>
      <c r="F30" s="99"/>
      <c r="G30" s="99"/>
      <c r="H30" s="98"/>
      <c r="I30" s="98"/>
      <c r="J30" s="100"/>
      <c r="K30" s="99"/>
      <c r="L30" s="99" t="s">
        <v>68</v>
      </c>
      <c r="M30" s="99" t="s">
        <v>69</v>
      </c>
      <c r="N30" s="457"/>
      <c r="O30" s="454"/>
      <c r="P30" s="98"/>
      <c r="Q30" s="101" t="s">
        <v>70</v>
      </c>
      <c r="R30" s="102" t="s">
        <v>69</v>
      </c>
      <c r="S30" s="103"/>
      <c r="T30" s="95"/>
      <c r="U30" s="95"/>
      <c r="V30" s="95"/>
      <c r="W30" s="95"/>
      <c r="X30" s="95"/>
      <c r="Y30" s="95"/>
      <c r="Z30" s="95"/>
    </row>
    <row r="31" spans="1:26" s="96" customFormat="1" x14ac:dyDescent="0.25">
      <c r="A31" s="6">
        <v>1</v>
      </c>
      <c r="B31" s="7">
        <v>2</v>
      </c>
      <c r="C31" s="7">
        <v>3</v>
      </c>
      <c r="D31" s="6">
        <v>4</v>
      </c>
      <c r="E31" s="6">
        <v>5</v>
      </c>
      <c r="F31" s="8">
        <v>6</v>
      </c>
      <c r="G31" s="8">
        <v>7</v>
      </c>
      <c r="H31" s="6">
        <v>8</v>
      </c>
      <c r="I31" s="6">
        <v>9</v>
      </c>
      <c r="J31" s="9">
        <v>10</v>
      </c>
      <c r="K31" s="8">
        <v>11</v>
      </c>
      <c r="L31" s="8">
        <v>12</v>
      </c>
      <c r="M31" s="8">
        <v>13</v>
      </c>
      <c r="N31" s="9">
        <v>14</v>
      </c>
      <c r="O31" s="9">
        <v>15</v>
      </c>
      <c r="P31" s="9">
        <v>16</v>
      </c>
      <c r="Q31" s="6">
        <v>17</v>
      </c>
      <c r="R31" s="6">
        <v>18</v>
      </c>
      <c r="S31" s="104"/>
      <c r="T31" s="95"/>
      <c r="U31" s="95"/>
      <c r="V31" s="95"/>
      <c r="W31" s="95"/>
      <c r="X31" s="95"/>
      <c r="Y31" s="95"/>
      <c r="Z31" s="95"/>
    </row>
    <row r="32" spans="1:26" x14ac:dyDescent="0.25">
      <c r="A32" s="438" t="s">
        <v>0</v>
      </c>
      <c r="B32" s="439"/>
      <c r="C32" s="439"/>
      <c r="D32" s="439"/>
      <c r="E32" s="439"/>
      <c r="F32" s="439"/>
      <c r="G32" s="439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40"/>
      <c r="S32" s="105"/>
    </row>
    <row r="33" spans="1:26" x14ac:dyDescent="0.25">
      <c r="A33" s="411" t="s">
        <v>17</v>
      </c>
      <c r="B33" s="445"/>
      <c r="C33" s="445"/>
      <c r="D33" s="445"/>
      <c r="E33" s="445"/>
      <c r="F33" s="445"/>
      <c r="G33" s="445"/>
      <c r="H33" s="445"/>
      <c r="I33" s="445"/>
      <c r="J33" s="445"/>
      <c r="K33" s="445"/>
      <c r="L33" s="445"/>
      <c r="M33" s="445"/>
      <c r="N33" s="445"/>
      <c r="O33" s="445"/>
      <c r="P33" s="445"/>
      <c r="Q33" s="445"/>
      <c r="R33" s="446"/>
      <c r="S33" s="106"/>
    </row>
    <row r="34" spans="1:26" x14ac:dyDescent="0.25">
      <c r="A34" s="411" t="s">
        <v>20</v>
      </c>
      <c r="B34" s="445"/>
      <c r="C34" s="445"/>
      <c r="D34" s="445"/>
      <c r="E34" s="445"/>
      <c r="F34" s="445"/>
      <c r="G34" s="445"/>
      <c r="H34" s="445"/>
      <c r="I34" s="445"/>
      <c r="J34" s="445"/>
      <c r="K34" s="445"/>
      <c r="L34" s="445"/>
      <c r="M34" s="445"/>
      <c r="N34" s="445"/>
      <c r="O34" s="445"/>
      <c r="P34" s="445"/>
      <c r="Q34" s="445"/>
      <c r="R34" s="446"/>
      <c r="S34" s="106"/>
    </row>
    <row r="35" spans="1:26" ht="51" x14ac:dyDescent="0.25">
      <c r="A35" s="441">
        <v>900103</v>
      </c>
      <c r="B35" s="289" t="s">
        <v>75</v>
      </c>
      <c r="C35" s="290" t="s">
        <v>71</v>
      </c>
      <c r="D35" s="287">
        <v>0.05</v>
      </c>
      <c r="E35" s="287">
        <v>0.03</v>
      </c>
      <c r="F35" s="289">
        <v>1.4</v>
      </c>
      <c r="G35" s="287">
        <v>1</v>
      </c>
      <c r="H35" s="287">
        <v>0.01</v>
      </c>
      <c r="I35" s="287" t="s">
        <v>72</v>
      </c>
      <c r="J35" s="287">
        <v>0.5</v>
      </c>
      <c r="K35" s="287">
        <v>0.5</v>
      </c>
      <c r="L35" s="287">
        <v>10</v>
      </c>
      <c r="M35" s="287">
        <f>(29199.4)*0.1*1.87</f>
        <v>5460.287800000001</v>
      </c>
      <c r="N35" s="287" t="s">
        <v>73</v>
      </c>
      <c r="O35" s="291" t="s">
        <v>74</v>
      </c>
      <c r="P35" s="287">
        <v>0</v>
      </c>
      <c r="Q35" s="287">
        <f>ROUND(((D35*E35*F35*G35*H35*J35*L35*1000000*K35/3600)*(1-P35)),4)</f>
        <v>1.46E-2</v>
      </c>
      <c r="R35" s="287">
        <f>ROUND((D35*E35*F35*G35*H35*J35*K35*M35*(1-P35)),4)</f>
        <v>2.87E-2</v>
      </c>
      <c r="S35" s="65"/>
      <c r="T35" s="11"/>
      <c r="U35" s="10"/>
      <c r="V35" s="10"/>
      <c r="W35" s="10"/>
      <c r="X35" s="10"/>
      <c r="Y35" s="10"/>
      <c r="Z35" s="2"/>
    </row>
    <row r="36" spans="1:26" ht="51" x14ac:dyDescent="0.25">
      <c r="A36" s="442"/>
      <c r="B36" s="292" t="s">
        <v>374</v>
      </c>
      <c r="C36" s="290" t="s">
        <v>71</v>
      </c>
      <c r="D36" s="287">
        <v>0.05</v>
      </c>
      <c r="E36" s="287">
        <v>0.03</v>
      </c>
      <c r="F36" s="289">
        <v>1.4</v>
      </c>
      <c r="G36" s="287">
        <v>1</v>
      </c>
      <c r="H36" s="287">
        <v>0.01</v>
      </c>
      <c r="I36" s="287" t="s">
        <v>72</v>
      </c>
      <c r="J36" s="287">
        <v>0.5</v>
      </c>
      <c r="K36" s="287">
        <v>0.5</v>
      </c>
      <c r="L36" s="287">
        <v>15</v>
      </c>
      <c r="M36" s="287">
        <v>28637</v>
      </c>
      <c r="N36" s="287" t="s">
        <v>73</v>
      </c>
      <c r="O36" s="291" t="s">
        <v>74</v>
      </c>
      <c r="P36" s="287">
        <v>0</v>
      </c>
      <c r="Q36" s="287">
        <f t="shared" ref="Q36" si="0">ROUND(((D36*E36*F36*G36*H36*J36*L36*1000000*K36/3600)*(1-P36)),4)</f>
        <v>2.1899999999999999E-2</v>
      </c>
      <c r="R36" s="287">
        <f t="shared" ref="R36" si="1">ROUND((D36*E36*F36*G36*H36*J36*K36*M36*(1-P36)),4)</f>
        <v>0.15029999999999999</v>
      </c>
      <c r="S36" s="65"/>
      <c r="T36" s="11"/>
      <c r="U36" s="10"/>
      <c r="V36" s="10"/>
      <c r="W36" s="10"/>
      <c r="X36" s="10"/>
      <c r="Y36" s="10"/>
      <c r="Z36" s="2"/>
    </row>
    <row r="37" spans="1:26" ht="51" x14ac:dyDescent="0.25">
      <c r="A37" s="443"/>
      <c r="B37" s="292" t="s">
        <v>375</v>
      </c>
      <c r="C37" s="290" t="s">
        <v>71</v>
      </c>
      <c r="D37" s="287">
        <v>0.05</v>
      </c>
      <c r="E37" s="287">
        <v>0.03</v>
      </c>
      <c r="F37" s="289">
        <v>1.4</v>
      </c>
      <c r="G37" s="287">
        <v>1</v>
      </c>
      <c r="H37" s="287">
        <v>0.01</v>
      </c>
      <c r="I37" s="287" t="s">
        <v>72</v>
      </c>
      <c r="J37" s="287">
        <v>0.5</v>
      </c>
      <c r="K37" s="287">
        <v>0.5</v>
      </c>
      <c r="L37" s="287">
        <v>5</v>
      </c>
      <c r="M37" s="287">
        <v>161</v>
      </c>
      <c r="N37" s="287" t="s">
        <v>73</v>
      </c>
      <c r="O37" s="291" t="s">
        <v>74</v>
      </c>
      <c r="P37" s="287">
        <v>0</v>
      </c>
      <c r="Q37" s="287">
        <f t="shared" ref="Q37:Q38" si="2">ROUND(((D37*E37*F37*G37*H37*J37*L37*1000000*K37/3600)*(1-P37)),4)</f>
        <v>7.3000000000000001E-3</v>
      </c>
      <c r="R37" s="287">
        <f t="shared" ref="R37" si="3">ROUND((D37*E37*F37*G37*H37*J37*K37*M37*(1-P37)),4)</f>
        <v>8.0000000000000004E-4</v>
      </c>
      <c r="S37" s="65"/>
    </row>
    <row r="38" spans="1:26" ht="38.25" x14ac:dyDescent="0.25">
      <c r="A38" s="443"/>
      <c r="B38" s="292" t="s">
        <v>376</v>
      </c>
      <c r="C38" s="290" t="s">
        <v>77</v>
      </c>
      <c r="D38" s="287">
        <v>0.04</v>
      </c>
      <c r="E38" s="287">
        <v>0.02</v>
      </c>
      <c r="F38" s="289">
        <v>1.4</v>
      </c>
      <c r="G38" s="287">
        <v>1</v>
      </c>
      <c r="H38" s="287">
        <v>0.01</v>
      </c>
      <c r="I38" s="287" t="s">
        <v>72</v>
      </c>
      <c r="J38" s="287">
        <v>0.5</v>
      </c>
      <c r="K38" s="287">
        <v>0.5</v>
      </c>
      <c r="L38" s="287">
        <v>10</v>
      </c>
      <c r="M38" s="287">
        <v>12146</v>
      </c>
      <c r="N38" s="287" t="s">
        <v>73</v>
      </c>
      <c r="O38" s="291" t="s">
        <v>74</v>
      </c>
      <c r="P38" s="287">
        <v>0.8</v>
      </c>
      <c r="Q38" s="287">
        <f t="shared" si="2"/>
        <v>1.6000000000000001E-3</v>
      </c>
      <c r="R38" s="287">
        <f>ROUND((D38*E38*F38*G38*H38*J38*K38*M38*(1-P38)),4)</f>
        <v>6.7999999999999996E-3</v>
      </c>
      <c r="S38" s="65"/>
    </row>
    <row r="39" spans="1:26" ht="38.25" x14ac:dyDescent="0.25">
      <c r="A39" s="443"/>
      <c r="B39" s="292" t="s">
        <v>377</v>
      </c>
      <c r="C39" s="290" t="s">
        <v>76</v>
      </c>
      <c r="D39" s="287">
        <v>0.02</v>
      </c>
      <c r="E39" s="287">
        <v>0.01</v>
      </c>
      <c r="F39" s="289">
        <v>1.4</v>
      </c>
      <c r="G39" s="287">
        <v>1</v>
      </c>
      <c r="H39" s="287">
        <v>0.01</v>
      </c>
      <c r="I39" s="287" t="s">
        <v>72</v>
      </c>
      <c r="J39" s="287">
        <v>0.4</v>
      </c>
      <c r="K39" s="287">
        <v>0.5</v>
      </c>
      <c r="L39" s="287">
        <v>5</v>
      </c>
      <c r="M39" s="287">
        <v>754</v>
      </c>
      <c r="N39" s="287" t="s">
        <v>73</v>
      </c>
      <c r="O39" s="291" t="s">
        <v>74</v>
      </c>
      <c r="P39" s="287">
        <v>0.8</v>
      </c>
      <c r="Q39" s="287">
        <f t="shared" ref="Q39:Q40" si="4">ROUND(((D39*E39*F39*G39*H39*J39*L39*1000000*K39/3600)*(1-P39)),4)</f>
        <v>2.0000000000000001E-4</v>
      </c>
      <c r="R39" s="287">
        <f t="shared" ref="R39" si="5">ROUND((D39*E39*F39*G39*H39*J39*K39*M39*(1-P39)),4)</f>
        <v>1E-4</v>
      </c>
      <c r="S39" s="65"/>
    </row>
    <row r="40" spans="1:26" ht="38.25" x14ac:dyDescent="0.25">
      <c r="A40" s="443"/>
      <c r="B40" s="292" t="s">
        <v>378</v>
      </c>
      <c r="C40" s="290" t="s">
        <v>77</v>
      </c>
      <c r="D40" s="287">
        <v>0.04</v>
      </c>
      <c r="E40" s="287">
        <v>0.02</v>
      </c>
      <c r="F40" s="289">
        <v>1.4</v>
      </c>
      <c r="G40" s="287">
        <v>1</v>
      </c>
      <c r="H40" s="287">
        <v>0.01</v>
      </c>
      <c r="I40" s="287" t="s">
        <v>72</v>
      </c>
      <c r="J40" s="287">
        <v>0.5</v>
      </c>
      <c r="K40" s="287">
        <v>0.5</v>
      </c>
      <c r="L40" s="287">
        <v>25</v>
      </c>
      <c r="M40" s="287">
        <v>34218</v>
      </c>
      <c r="N40" s="287" t="s">
        <v>73</v>
      </c>
      <c r="O40" s="291" t="s">
        <v>74</v>
      </c>
      <c r="P40" s="287">
        <v>0.8</v>
      </c>
      <c r="Q40" s="287">
        <f t="shared" si="4"/>
        <v>3.8999999999999998E-3</v>
      </c>
      <c r="R40" s="287">
        <f>ROUND((D40*E40*F40*G40*H40*J40*K40*M40*(1-P40)),4)</f>
        <v>1.9199999999999998E-2</v>
      </c>
      <c r="S40" s="65"/>
    </row>
    <row r="41" spans="1:26" ht="38.25" x14ac:dyDescent="0.25">
      <c r="A41" s="443"/>
      <c r="B41" s="292" t="s">
        <v>379</v>
      </c>
      <c r="C41" s="290" t="s">
        <v>76</v>
      </c>
      <c r="D41" s="287">
        <v>0.02</v>
      </c>
      <c r="E41" s="287">
        <v>0.01</v>
      </c>
      <c r="F41" s="289">
        <v>1.4</v>
      </c>
      <c r="G41" s="287">
        <v>1</v>
      </c>
      <c r="H41" s="287">
        <v>0.01</v>
      </c>
      <c r="I41" s="287" t="s">
        <v>72</v>
      </c>
      <c r="J41" s="287">
        <v>0.4</v>
      </c>
      <c r="K41" s="287">
        <v>0.5</v>
      </c>
      <c r="L41" s="287">
        <v>5</v>
      </c>
      <c r="M41" s="287">
        <v>2990</v>
      </c>
      <c r="N41" s="287" t="s">
        <v>73</v>
      </c>
      <c r="O41" s="291" t="s">
        <v>74</v>
      </c>
      <c r="P41" s="287">
        <v>0.8</v>
      </c>
      <c r="Q41" s="287">
        <f t="shared" ref="Q41" si="6">ROUND(((D41*E41*F41*G41*H41*J41*L41*1000000*K41/3600)*(1-P41)),4)</f>
        <v>2.0000000000000001E-4</v>
      </c>
      <c r="R41" s="287">
        <f t="shared" ref="R41" si="7">ROUND((D41*E41*F41*G41*H41*J41*K41*M41*(1-P41)),4)</f>
        <v>2.9999999999999997E-4</v>
      </c>
      <c r="S41" s="65"/>
    </row>
    <row r="42" spans="1:26" ht="38.25" x14ac:dyDescent="0.25">
      <c r="A42" s="444"/>
      <c r="B42" s="292" t="s">
        <v>78</v>
      </c>
      <c r="C42" s="290" t="s">
        <v>76</v>
      </c>
      <c r="D42" s="287">
        <v>0.02</v>
      </c>
      <c r="E42" s="287">
        <v>0.01</v>
      </c>
      <c r="F42" s="289">
        <v>1.4</v>
      </c>
      <c r="G42" s="287">
        <v>1</v>
      </c>
      <c r="H42" s="287">
        <v>0.01</v>
      </c>
      <c r="I42" s="287" t="s">
        <v>72</v>
      </c>
      <c r="J42" s="287">
        <v>0.4</v>
      </c>
      <c r="K42" s="287">
        <v>0.5</v>
      </c>
      <c r="L42" s="287">
        <v>5</v>
      </c>
      <c r="M42" s="287">
        <v>2812</v>
      </c>
      <c r="N42" s="287" t="s">
        <v>73</v>
      </c>
      <c r="O42" s="291" t="s">
        <v>74</v>
      </c>
      <c r="P42" s="287">
        <v>0.8</v>
      </c>
      <c r="Q42" s="287">
        <f t="shared" ref="Q42" si="8">ROUND(((D42*E42*F42*G42*H42*J42*L42*1000000*K42/3600)*(1-P42)),4)</f>
        <v>2.0000000000000001E-4</v>
      </c>
      <c r="R42" s="287">
        <f t="shared" ref="R42" si="9">ROUND((D42*E42*F42*G42*H42*J42*K42*M42*(1-P42)),4)</f>
        <v>2.9999999999999997E-4</v>
      </c>
      <c r="S42" s="65"/>
    </row>
    <row r="43" spans="1:26" x14ac:dyDescent="0.25">
      <c r="A43" s="447" t="s">
        <v>79</v>
      </c>
      <c r="B43" s="448"/>
      <c r="C43" s="448"/>
      <c r="D43" s="448"/>
      <c r="E43" s="448"/>
      <c r="F43" s="448"/>
      <c r="G43" s="448"/>
      <c r="H43" s="448"/>
      <c r="I43" s="448"/>
      <c r="J43" s="448"/>
      <c r="K43" s="448"/>
      <c r="L43" s="448"/>
      <c r="M43" s="448"/>
      <c r="N43" s="448"/>
      <c r="O43" s="448"/>
      <c r="P43" s="448"/>
      <c r="Q43" s="448"/>
      <c r="R43" s="449"/>
      <c r="S43" s="107"/>
    </row>
    <row r="44" spans="1:26" ht="38.25" x14ac:dyDescent="0.25">
      <c r="A44" s="426" t="s">
        <v>340</v>
      </c>
      <c r="B44" s="427"/>
      <c r="C44" s="427"/>
      <c r="D44" s="427"/>
      <c r="E44" s="427"/>
      <c r="F44" s="427"/>
      <c r="G44" s="427"/>
      <c r="H44" s="427"/>
      <c r="I44" s="427"/>
      <c r="J44" s="427"/>
      <c r="K44" s="427"/>
      <c r="L44" s="427"/>
      <c r="M44" s="428"/>
      <c r="N44" s="294" t="s">
        <v>73</v>
      </c>
      <c r="O44" s="295" t="s">
        <v>74</v>
      </c>
      <c r="P44" s="287"/>
      <c r="Q44" s="294">
        <f>MAX(Q35,Q36,Q37,Q40,Q41,Q38,Q39,Q42)</f>
        <v>2.1899999999999999E-2</v>
      </c>
      <c r="R44" s="294">
        <f>R35+R36+R37+R40+R38+R39+R42+R41</f>
        <v>0.20649999999999996</v>
      </c>
      <c r="S44" s="72">
        <f>Q44</f>
        <v>2.1899999999999999E-2</v>
      </c>
      <c r="T44" s="72">
        <f>R44</f>
        <v>0.20649999999999996</v>
      </c>
    </row>
    <row r="45" spans="1:26" x14ac:dyDescent="0.25">
      <c r="A45" s="411" t="s">
        <v>21</v>
      </c>
      <c r="B45" s="445"/>
      <c r="C45" s="445"/>
      <c r="D45" s="445"/>
      <c r="E45" s="445"/>
      <c r="F45" s="445"/>
      <c r="G45" s="445"/>
      <c r="H45" s="445"/>
      <c r="I45" s="445"/>
      <c r="J45" s="445"/>
      <c r="K45" s="445"/>
      <c r="L45" s="445"/>
      <c r="M45" s="445"/>
      <c r="N45" s="445"/>
      <c r="O45" s="445"/>
      <c r="P45" s="445"/>
      <c r="Q45" s="445"/>
      <c r="R45" s="446"/>
      <c r="S45" s="106"/>
    </row>
    <row r="46" spans="1:26" x14ac:dyDescent="0.25">
      <c r="A46" s="411" t="s">
        <v>20</v>
      </c>
      <c r="B46" s="445"/>
      <c r="C46" s="445"/>
      <c r="D46" s="445"/>
      <c r="E46" s="445"/>
      <c r="F46" s="445"/>
      <c r="G46" s="445"/>
      <c r="H46" s="445"/>
      <c r="I46" s="445"/>
      <c r="J46" s="445"/>
      <c r="K46" s="445"/>
      <c r="L46" s="445"/>
      <c r="M46" s="445"/>
      <c r="N46" s="445"/>
      <c r="O46" s="445"/>
      <c r="P46" s="445"/>
      <c r="Q46" s="445"/>
      <c r="R46" s="446"/>
      <c r="S46" s="106"/>
    </row>
    <row r="47" spans="1:26" ht="51" x14ac:dyDescent="0.25">
      <c r="A47" s="441">
        <v>900103</v>
      </c>
      <c r="B47" s="289" t="s">
        <v>75</v>
      </c>
      <c r="C47" s="290" t="s">
        <v>71</v>
      </c>
      <c r="D47" s="287">
        <v>0.05</v>
      </c>
      <c r="E47" s="287">
        <v>0.03</v>
      </c>
      <c r="F47" s="289">
        <v>1.4</v>
      </c>
      <c r="G47" s="287">
        <v>1</v>
      </c>
      <c r="H47" s="287">
        <v>0.01</v>
      </c>
      <c r="I47" s="287" t="s">
        <v>72</v>
      </c>
      <c r="J47" s="287">
        <v>0.5</v>
      </c>
      <c r="K47" s="287">
        <v>0.5</v>
      </c>
      <c r="L47" s="287">
        <v>10</v>
      </c>
      <c r="M47" s="287">
        <f>(87598.2)*0.1*1.87</f>
        <v>16380.8634</v>
      </c>
      <c r="N47" s="287" t="s">
        <v>73</v>
      </c>
      <c r="O47" s="291" t="s">
        <v>74</v>
      </c>
      <c r="P47" s="287">
        <v>0</v>
      </c>
      <c r="Q47" s="287">
        <f>ROUND(((D47*E47*F47*G47*H47*J47*L47*1000000*K47/3600)*(1-P47)),4)</f>
        <v>1.46E-2</v>
      </c>
      <c r="R47" s="287">
        <f>ROUND((D47*E47*F47*G47*H47*J47*K47*M47*(1-P47)),4)</f>
        <v>8.5999999999999993E-2</v>
      </c>
      <c r="S47" s="65"/>
      <c r="T47" s="11"/>
      <c r="U47" s="10"/>
      <c r="V47" s="10"/>
      <c r="W47" s="10"/>
      <c r="X47" s="10"/>
      <c r="Y47" s="10"/>
      <c r="Z47" s="2"/>
    </row>
    <row r="48" spans="1:26" ht="51" x14ac:dyDescent="0.25">
      <c r="A48" s="442"/>
      <c r="B48" s="292" t="s">
        <v>374</v>
      </c>
      <c r="C48" s="290" t="s">
        <v>71</v>
      </c>
      <c r="D48" s="287">
        <v>0.05</v>
      </c>
      <c r="E48" s="287">
        <v>0.03</v>
      </c>
      <c r="F48" s="289">
        <v>1.4</v>
      </c>
      <c r="G48" s="287">
        <v>1</v>
      </c>
      <c r="H48" s="287">
        <v>0.01</v>
      </c>
      <c r="I48" s="287" t="s">
        <v>72</v>
      </c>
      <c r="J48" s="287">
        <v>0.5</v>
      </c>
      <c r="K48" s="287">
        <v>0.5</v>
      </c>
      <c r="L48" s="287">
        <v>25</v>
      </c>
      <c r="M48" s="287">
        <v>85912</v>
      </c>
      <c r="N48" s="287" t="s">
        <v>73</v>
      </c>
      <c r="O48" s="291" t="s">
        <v>74</v>
      </c>
      <c r="P48" s="287">
        <v>0</v>
      </c>
      <c r="Q48" s="287">
        <f t="shared" ref="Q48" si="10">ROUND(((D48*E48*F48*G48*H48*J48*L48*1000000*K48/3600)*(1-P48)),4)</f>
        <v>3.6499999999999998E-2</v>
      </c>
      <c r="R48" s="287">
        <f t="shared" ref="R48" si="11">ROUND((D48*E48*F48*G48*H48*J48*K48*M48*(1-P48)),4)</f>
        <v>0.45100000000000001</v>
      </c>
      <c r="S48" s="65"/>
      <c r="T48" s="11"/>
      <c r="U48" s="10"/>
      <c r="V48" s="10"/>
      <c r="W48" s="10"/>
      <c r="X48" s="10"/>
      <c r="Y48" s="10"/>
      <c r="Z48" s="2"/>
    </row>
    <row r="49" spans="1:26" ht="51" x14ac:dyDescent="0.25">
      <c r="A49" s="443"/>
      <c r="B49" s="292" t="s">
        <v>375</v>
      </c>
      <c r="C49" s="290" t="s">
        <v>71</v>
      </c>
      <c r="D49" s="287">
        <v>0.05</v>
      </c>
      <c r="E49" s="287">
        <v>0.03</v>
      </c>
      <c r="F49" s="289">
        <v>1.4</v>
      </c>
      <c r="G49" s="287">
        <v>1</v>
      </c>
      <c r="H49" s="287">
        <v>0.01</v>
      </c>
      <c r="I49" s="287" t="s">
        <v>72</v>
      </c>
      <c r="J49" s="287">
        <v>0.5</v>
      </c>
      <c r="K49" s="287">
        <v>0.5</v>
      </c>
      <c r="L49" s="287">
        <v>5</v>
      </c>
      <c r="M49" s="287">
        <v>482</v>
      </c>
      <c r="N49" s="287" t="s">
        <v>73</v>
      </c>
      <c r="O49" s="291" t="s">
        <v>74</v>
      </c>
      <c r="P49" s="287">
        <v>0</v>
      </c>
      <c r="Q49" s="287">
        <f t="shared" ref="Q49:Q54" si="12">ROUND(((D49*E49*F49*G49*H49*J49*L49*1000000*K49/3600)*(1-P49)),4)</f>
        <v>7.3000000000000001E-3</v>
      </c>
      <c r="R49" s="287">
        <f t="shared" ref="R49" si="13">ROUND((D49*E49*F49*G49*H49*J49*K49*M49*(1-P49)),4)</f>
        <v>2.5000000000000001E-3</v>
      </c>
      <c r="S49" s="65"/>
      <c r="T49" s="11"/>
      <c r="U49" s="10"/>
      <c r="V49" s="10"/>
      <c r="W49" s="10"/>
      <c r="X49" s="10"/>
      <c r="Y49" s="10"/>
      <c r="Z49" s="2"/>
    </row>
    <row r="50" spans="1:26" ht="38.25" x14ac:dyDescent="0.25">
      <c r="A50" s="443"/>
      <c r="B50" s="292" t="s">
        <v>376</v>
      </c>
      <c r="C50" s="290" t="s">
        <v>77</v>
      </c>
      <c r="D50" s="287">
        <v>0.04</v>
      </c>
      <c r="E50" s="287">
        <v>0.02</v>
      </c>
      <c r="F50" s="289">
        <v>1.4</v>
      </c>
      <c r="G50" s="287">
        <v>1</v>
      </c>
      <c r="H50" s="287">
        <v>0.01</v>
      </c>
      <c r="I50" s="287" t="s">
        <v>72</v>
      </c>
      <c r="J50" s="287">
        <v>0.5</v>
      </c>
      <c r="K50" s="287">
        <v>0.5</v>
      </c>
      <c r="L50" s="287">
        <v>20</v>
      </c>
      <c r="M50" s="287">
        <v>36438</v>
      </c>
      <c r="N50" s="287" t="s">
        <v>73</v>
      </c>
      <c r="O50" s="291" t="s">
        <v>74</v>
      </c>
      <c r="P50" s="287">
        <v>0.8</v>
      </c>
      <c r="Q50" s="287">
        <f t="shared" si="12"/>
        <v>3.0999999999999999E-3</v>
      </c>
      <c r="R50" s="287">
        <f>ROUND((D50*E50*F50*G50*H50*J50*K50*M50*(1-P50)),4)</f>
        <v>2.0400000000000001E-2</v>
      </c>
      <c r="S50" s="65"/>
      <c r="T50" s="11"/>
      <c r="U50" s="10"/>
      <c r="V50" s="10"/>
      <c r="W50" s="10"/>
      <c r="X50" s="10"/>
      <c r="Y50" s="10"/>
      <c r="Z50" s="2"/>
    </row>
    <row r="51" spans="1:26" ht="38.25" x14ac:dyDescent="0.25">
      <c r="A51" s="443"/>
      <c r="B51" s="292" t="s">
        <v>377</v>
      </c>
      <c r="C51" s="290" t="s">
        <v>76</v>
      </c>
      <c r="D51" s="287">
        <v>0.02</v>
      </c>
      <c r="E51" s="287">
        <v>0.01</v>
      </c>
      <c r="F51" s="289">
        <v>1.4</v>
      </c>
      <c r="G51" s="287">
        <v>1</v>
      </c>
      <c r="H51" s="287">
        <v>0.01</v>
      </c>
      <c r="I51" s="287" t="s">
        <v>72</v>
      </c>
      <c r="J51" s="287">
        <v>0.4</v>
      </c>
      <c r="K51" s="287">
        <v>0.5</v>
      </c>
      <c r="L51" s="287">
        <v>5</v>
      </c>
      <c r="M51" s="287">
        <v>2262</v>
      </c>
      <c r="N51" s="287" t="s">
        <v>73</v>
      </c>
      <c r="O51" s="291" t="s">
        <v>74</v>
      </c>
      <c r="P51" s="287">
        <v>0.8</v>
      </c>
      <c r="Q51" s="287">
        <f t="shared" si="12"/>
        <v>2.0000000000000001E-4</v>
      </c>
      <c r="R51" s="287">
        <f t="shared" ref="R51:R54" si="14">ROUND((D51*E51*F51*G51*H51*J51*K51*M51*(1-P51)),4)</f>
        <v>2.9999999999999997E-4</v>
      </c>
      <c r="S51" s="293"/>
      <c r="T51" s="11"/>
      <c r="U51" s="10"/>
      <c r="V51" s="10"/>
      <c r="W51" s="10"/>
      <c r="X51" s="10"/>
      <c r="Y51" s="10"/>
      <c r="Z51" s="2"/>
    </row>
    <row r="52" spans="1:26" ht="38.25" x14ac:dyDescent="0.25">
      <c r="A52" s="443"/>
      <c r="B52" s="292" t="s">
        <v>378</v>
      </c>
      <c r="C52" s="290" t="s">
        <v>77</v>
      </c>
      <c r="D52" s="287">
        <v>0.04</v>
      </c>
      <c r="E52" s="287">
        <v>0.02</v>
      </c>
      <c r="F52" s="289">
        <v>1.4</v>
      </c>
      <c r="G52" s="287">
        <v>1</v>
      </c>
      <c r="H52" s="287">
        <v>0.01</v>
      </c>
      <c r="I52" s="287" t="s">
        <v>72</v>
      </c>
      <c r="J52" s="287">
        <v>0.5</v>
      </c>
      <c r="K52" s="287">
        <v>0.5</v>
      </c>
      <c r="L52" s="287">
        <v>30</v>
      </c>
      <c r="M52" s="287">
        <v>102655</v>
      </c>
      <c r="N52" s="287" t="s">
        <v>73</v>
      </c>
      <c r="O52" s="291" t="s">
        <v>74</v>
      </c>
      <c r="P52" s="287">
        <v>0.8</v>
      </c>
      <c r="Q52" s="287">
        <f t="shared" si="12"/>
        <v>4.7000000000000002E-3</v>
      </c>
      <c r="R52" s="287">
        <f>ROUND((D52*E52*F52*G52*H52*J52*K52*M52*(1-P52)),4)</f>
        <v>5.7500000000000002E-2</v>
      </c>
      <c r="S52" s="293"/>
      <c r="T52" s="11"/>
      <c r="U52" s="10"/>
      <c r="V52" s="10"/>
      <c r="W52" s="10"/>
      <c r="X52" s="10"/>
      <c r="Y52" s="10"/>
      <c r="Z52" s="2"/>
    </row>
    <row r="53" spans="1:26" ht="38.25" x14ac:dyDescent="0.25">
      <c r="A53" s="443"/>
      <c r="B53" s="292" t="s">
        <v>379</v>
      </c>
      <c r="C53" s="290" t="s">
        <v>76</v>
      </c>
      <c r="D53" s="287">
        <v>0.02</v>
      </c>
      <c r="E53" s="287">
        <v>0.01</v>
      </c>
      <c r="F53" s="289">
        <v>1.4</v>
      </c>
      <c r="G53" s="287">
        <v>1</v>
      </c>
      <c r="H53" s="287">
        <v>0.01</v>
      </c>
      <c r="I53" s="287" t="s">
        <v>72</v>
      </c>
      <c r="J53" s="287">
        <v>0.4</v>
      </c>
      <c r="K53" s="287">
        <v>0.5</v>
      </c>
      <c r="L53" s="287">
        <v>5</v>
      </c>
      <c r="M53" s="287">
        <v>8971</v>
      </c>
      <c r="N53" s="287" t="s">
        <v>73</v>
      </c>
      <c r="O53" s="291" t="s">
        <v>74</v>
      </c>
      <c r="P53" s="287">
        <v>0.8</v>
      </c>
      <c r="Q53" s="287">
        <f t="shared" si="12"/>
        <v>2.0000000000000001E-4</v>
      </c>
      <c r="R53" s="287">
        <f t="shared" ref="R53" si="15">ROUND((D53*E53*F53*G53*H53*J53*K53*M53*(1-P53)),4)</f>
        <v>1E-3</v>
      </c>
      <c r="S53" s="293"/>
      <c r="T53" s="11"/>
      <c r="U53" s="10"/>
      <c r="V53" s="10"/>
      <c r="W53" s="10"/>
      <c r="X53" s="10"/>
      <c r="Y53" s="10"/>
      <c r="Z53" s="2"/>
    </row>
    <row r="54" spans="1:26" ht="38.25" x14ac:dyDescent="0.25">
      <c r="A54" s="444"/>
      <c r="B54" s="292" t="s">
        <v>78</v>
      </c>
      <c r="C54" s="290" t="s">
        <v>76</v>
      </c>
      <c r="D54" s="287">
        <v>0.02</v>
      </c>
      <c r="E54" s="287">
        <v>0.01</v>
      </c>
      <c r="F54" s="289">
        <v>1.4</v>
      </c>
      <c r="G54" s="287">
        <v>1</v>
      </c>
      <c r="H54" s="287">
        <v>0.01</v>
      </c>
      <c r="I54" s="287" t="s">
        <v>72</v>
      </c>
      <c r="J54" s="287">
        <v>0.4</v>
      </c>
      <c r="K54" s="287">
        <v>0.5</v>
      </c>
      <c r="L54" s="287">
        <v>5</v>
      </c>
      <c r="M54" s="287">
        <v>8437</v>
      </c>
      <c r="N54" s="287" t="s">
        <v>73</v>
      </c>
      <c r="O54" s="291" t="s">
        <v>74</v>
      </c>
      <c r="P54" s="287">
        <v>0.8</v>
      </c>
      <c r="Q54" s="287">
        <f t="shared" si="12"/>
        <v>2.0000000000000001E-4</v>
      </c>
      <c r="R54" s="287">
        <f t="shared" si="14"/>
        <v>8.9999999999999998E-4</v>
      </c>
      <c r="S54" s="65"/>
      <c r="T54" s="11"/>
      <c r="U54" s="10"/>
      <c r="V54" s="10"/>
      <c r="W54" s="10"/>
      <c r="X54" s="10"/>
      <c r="Y54" s="10"/>
      <c r="Z54" s="2"/>
    </row>
    <row r="55" spans="1:26" x14ac:dyDescent="0.25">
      <c r="A55" s="447" t="s">
        <v>79</v>
      </c>
      <c r="B55" s="448"/>
      <c r="C55" s="448"/>
      <c r="D55" s="448"/>
      <c r="E55" s="448"/>
      <c r="F55" s="448"/>
      <c r="G55" s="448"/>
      <c r="H55" s="448"/>
      <c r="I55" s="448"/>
      <c r="J55" s="448"/>
      <c r="K55" s="448"/>
      <c r="L55" s="448"/>
      <c r="M55" s="448"/>
      <c r="N55" s="448"/>
      <c r="O55" s="448"/>
      <c r="P55" s="448"/>
      <c r="Q55" s="448"/>
      <c r="R55" s="449"/>
      <c r="S55" s="107"/>
      <c r="T55" s="11"/>
      <c r="U55" s="10"/>
      <c r="V55" s="10"/>
      <c r="W55" s="10"/>
      <c r="X55" s="10"/>
      <c r="Y55" s="10"/>
      <c r="Z55" s="2"/>
    </row>
    <row r="56" spans="1:26" ht="38.25" x14ac:dyDescent="0.25">
      <c r="A56" s="426" t="s">
        <v>340</v>
      </c>
      <c r="B56" s="427"/>
      <c r="C56" s="427"/>
      <c r="D56" s="427"/>
      <c r="E56" s="427"/>
      <c r="F56" s="427"/>
      <c r="G56" s="427"/>
      <c r="H56" s="427"/>
      <c r="I56" s="427"/>
      <c r="J56" s="427"/>
      <c r="K56" s="427"/>
      <c r="L56" s="427"/>
      <c r="M56" s="428"/>
      <c r="N56" s="294" t="s">
        <v>73</v>
      </c>
      <c r="O56" s="295" t="s">
        <v>74</v>
      </c>
      <c r="P56" s="287"/>
      <c r="Q56" s="294">
        <f>MAX(Q47,Q48,Q49,Q52,Q53,Q50,Q51,Q54)</f>
        <v>3.6499999999999998E-2</v>
      </c>
      <c r="R56" s="294">
        <f>R47+R48+R49+R52+R50+R51+R54+R53</f>
        <v>0.61959999999999993</v>
      </c>
      <c r="S56" s="72">
        <f>Q56</f>
        <v>3.6499999999999998E-2</v>
      </c>
      <c r="T56" s="72">
        <f>R56</f>
        <v>0.61959999999999993</v>
      </c>
      <c r="U56" s="10"/>
      <c r="W56" s="10"/>
      <c r="X56" s="10"/>
      <c r="Y56" s="10"/>
      <c r="Z56" s="2"/>
    </row>
    <row r="57" spans="1:26" x14ac:dyDescent="0.25">
      <c r="A57" s="411" t="s">
        <v>22</v>
      </c>
      <c r="B57" s="445"/>
      <c r="C57" s="445"/>
      <c r="D57" s="445"/>
      <c r="E57" s="445"/>
      <c r="F57" s="445"/>
      <c r="G57" s="445"/>
      <c r="H57" s="445"/>
      <c r="I57" s="445"/>
      <c r="J57" s="445"/>
      <c r="K57" s="445"/>
      <c r="L57" s="445"/>
      <c r="M57" s="445"/>
      <c r="N57" s="445"/>
      <c r="O57" s="445"/>
      <c r="P57" s="445"/>
      <c r="Q57" s="445"/>
      <c r="R57" s="446"/>
      <c r="S57" s="106"/>
    </row>
    <row r="58" spans="1:26" x14ac:dyDescent="0.25">
      <c r="A58" s="411" t="s">
        <v>20</v>
      </c>
      <c r="B58" s="445"/>
      <c r="C58" s="445"/>
      <c r="D58" s="445"/>
      <c r="E58" s="445"/>
      <c r="F58" s="445"/>
      <c r="G58" s="445"/>
      <c r="H58" s="445"/>
      <c r="I58" s="445"/>
      <c r="J58" s="445"/>
      <c r="K58" s="445"/>
      <c r="L58" s="445"/>
      <c r="M58" s="445"/>
      <c r="N58" s="445"/>
      <c r="O58" s="445"/>
      <c r="P58" s="445"/>
      <c r="Q58" s="445"/>
      <c r="R58" s="446"/>
      <c r="S58" s="106"/>
    </row>
    <row r="59" spans="1:26" ht="51" x14ac:dyDescent="0.25">
      <c r="A59" s="441">
        <v>900103</v>
      </c>
      <c r="B59" s="289" t="s">
        <v>75</v>
      </c>
      <c r="C59" s="290" t="s">
        <v>71</v>
      </c>
      <c r="D59" s="287">
        <v>0.05</v>
      </c>
      <c r="E59" s="287">
        <v>0.03</v>
      </c>
      <c r="F59" s="289">
        <v>1.4</v>
      </c>
      <c r="G59" s="287">
        <v>1</v>
      </c>
      <c r="H59" s="287">
        <v>0.01</v>
      </c>
      <c r="I59" s="287" t="s">
        <v>72</v>
      </c>
      <c r="J59" s="287">
        <v>0.5</v>
      </c>
      <c r="K59" s="287">
        <v>0.5</v>
      </c>
      <c r="L59" s="287">
        <v>10</v>
      </c>
      <c r="M59" s="287">
        <f>(29199.4)*0.1*1.87</f>
        <v>5460.287800000001</v>
      </c>
      <c r="N59" s="287" t="s">
        <v>73</v>
      </c>
      <c r="O59" s="291" t="s">
        <v>74</v>
      </c>
      <c r="P59" s="287">
        <v>0</v>
      </c>
      <c r="Q59" s="287">
        <f>ROUND(((D59*E59*F59*G59*H59*J59*L59*1000000*K59/3600)*(1-P59)),4)</f>
        <v>1.46E-2</v>
      </c>
      <c r="R59" s="287">
        <f>ROUND((D59*E59*F59*G59*H59*J59*K59*M59*(1-P59)),4)</f>
        <v>2.87E-2</v>
      </c>
      <c r="S59" s="65"/>
      <c r="T59" s="11"/>
      <c r="U59" s="10"/>
      <c r="V59" s="10"/>
      <c r="W59" s="10"/>
      <c r="X59" s="10"/>
      <c r="Y59" s="10"/>
      <c r="Z59" s="2"/>
    </row>
    <row r="60" spans="1:26" ht="51" x14ac:dyDescent="0.25">
      <c r="A60" s="442"/>
      <c r="B60" s="292" t="s">
        <v>374</v>
      </c>
      <c r="C60" s="290" t="s">
        <v>71</v>
      </c>
      <c r="D60" s="287">
        <v>0.05</v>
      </c>
      <c r="E60" s="287">
        <v>0.03</v>
      </c>
      <c r="F60" s="289">
        <v>1.4</v>
      </c>
      <c r="G60" s="287">
        <v>1</v>
      </c>
      <c r="H60" s="287">
        <v>0.01</v>
      </c>
      <c r="I60" s="287" t="s">
        <v>72</v>
      </c>
      <c r="J60" s="287">
        <v>0.5</v>
      </c>
      <c r="K60" s="287">
        <v>0.5</v>
      </c>
      <c r="L60" s="287">
        <v>15</v>
      </c>
      <c r="M60" s="287">
        <v>28637</v>
      </c>
      <c r="N60" s="287" t="s">
        <v>73</v>
      </c>
      <c r="O60" s="291" t="s">
        <v>74</v>
      </c>
      <c r="P60" s="287">
        <v>0</v>
      </c>
      <c r="Q60" s="287">
        <f t="shared" ref="Q60" si="16">ROUND(((D60*E60*F60*G60*H60*J60*L60*1000000*K60/3600)*(1-P60)),4)</f>
        <v>2.1899999999999999E-2</v>
      </c>
      <c r="R60" s="287">
        <f t="shared" ref="R60" si="17">ROUND((D60*E60*F60*G60*H60*J60*K60*M60*(1-P60)),4)</f>
        <v>0.15029999999999999</v>
      </c>
      <c r="S60" s="65"/>
      <c r="T60" s="11"/>
      <c r="U60" s="10"/>
      <c r="V60" s="10"/>
      <c r="W60" s="10"/>
      <c r="X60" s="10"/>
      <c r="Y60" s="10"/>
      <c r="Z60" s="2"/>
    </row>
    <row r="61" spans="1:26" ht="51" x14ac:dyDescent="0.25">
      <c r="A61" s="443"/>
      <c r="B61" s="292" t="s">
        <v>375</v>
      </c>
      <c r="C61" s="290" t="s">
        <v>71</v>
      </c>
      <c r="D61" s="287">
        <v>0.05</v>
      </c>
      <c r="E61" s="287">
        <v>0.03</v>
      </c>
      <c r="F61" s="289">
        <v>1.4</v>
      </c>
      <c r="G61" s="287">
        <v>1</v>
      </c>
      <c r="H61" s="287">
        <v>0.01</v>
      </c>
      <c r="I61" s="287" t="s">
        <v>72</v>
      </c>
      <c r="J61" s="287">
        <v>0.5</v>
      </c>
      <c r="K61" s="287">
        <v>0.5</v>
      </c>
      <c r="L61" s="287">
        <v>5</v>
      </c>
      <c r="M61" s="287">
        <v>161</v>
      </c>
      <c r="N61" s="287" t="s">
        <v>73</v>
      </c>
      <c r="O61" s="291" t="s">
        <v>74</v>
      </c>
      <c r="P61" s="287">
        <v>0</v>
      </c>
      <c r="Q61" s="287">
        <f t="shared" ref="Q61:Q66" si="18">ROUND(((D61*E61*F61*G61*H61*J61*L61*1000000*K61/3600)*(1-P61)),4)</f>
        <v>7.3000000000000001E-3</v>
      </c>
      <c r="R61" s="287">
        <f t="shared" ref="R61" si="19">ROUND((D61*E61*F61*G61*H61*J61*K61*M61*(1-P61)),4)</f>
        <v>8.0000000000000004E-4</v>
      </c>
      <c r="S61" s="65"/>
    </row>
    <row r="62" spans="1:26" ht="38.25" x14ac:dyDescent="0.25">
      <c r="A62" s="443"/>
      <c r="B62" s="292" t="s">
        <v>376</v>
      </c>
      <c r="C62" s="290" t="s">
        <v>77</v>
      </c>
      <c r="D62" s="287">
        <v>0.04</v>
      </c>
      <c r="E62" s="287">
        <v>0.02</v>
      </c>
      <c r="F62" s="289">
        <v>1.4</v>
      </c>
      <c r="G62" s="287">
        <v>1</v>
      </c>
      <c r="H62" s="287">
        <v>0.01</v>
      </c>
      <c r="I62" s="287" t="s">
        <v>72</v>
      </c>
      <c r="J62" s="287">
        <v>0.5</v>
      </c>
      <c r="K62" s="287">
        <v>0.5</v>
      </c>
      <c r="L62" s="287">
        <v>10</v>
      </c>
      <c r="M62" s="287">
        <v>12146</v>
      </c>
      <c r="N62" s="287" t="s">
        <v>73</v>
      </c>
      <c r="O62" s="291" t="s">
        <v>74</v>
      </c>
      <c r="P62" s="287">
        <v>0.8</v>
      </c>
      <c r="Q62" s="287">
        <f>ROUND(((D62*E62*F62*G62*H62*J62*L62*1000000*K62/3600)*(1-P62)),4)</f>
        <v>1.6000000000000001E-3</v>
      </c>
      <c r="R62" s="287">
        <f>ROUND((D62*E62*F62*G62*H62*J62*K62*M62*(1-P62)),4)</f>
        <v>6.7999999999999996E-3</v>
      </c>
      <c r="S62" s="65"/>
    </row>
    <row r="63" spans="1:26" ht="38.25" x14ac:dyDescent="0.25">
      <c r="A63" s="443"/>
      <c r="B63" s="292" t="s">
        <v>377</v>
      </c>
      <c r="C63" s="290" t="s">
        <v>76</v>
      </c>
      <c r="D63" s="287">
        <v>0.02</v>
      </c>
      <c r="E63" s="287">
        <v>0.01</v>
      </c>
      <c r="F63" s="289">
        <v>1.4</v>
      </c>
      <c r="G63" s="287">
        <v>1</v>
      </c>
      <c r="H63" s="287">
        <v>0.01</v>
      </c>
      <c r="I63" s="287" t="s">
        <v>72</v>
      </c>
      <c r="J63" s="287">
        <v>0.4</v>
      </c>
      <c r="K63" s="287">
        <v>0.5</v>
      </c>
      <c r="L63" s="287">
        <v>5</v>
      </c>
      <c r="M63" s="287">
        <v>754</v>
      </c>
      <c r="N63" s="287" t="s">
        <v>73</v>
      </c>
      <c r="O63" s="291" t="s">
        <v>74</v>
      </c>
      <c r="P63" s="287">
        <v>0.8</v>
      </c>
      <c r="Q63" s="287">
        <f t="shared" si="18"/>
        <v>2.0000000000000001E-4</v>
      </c>
      <c r="R63" s="287">
        <f t="shared" ref="R63:R66" si="20">ROUND((D63*E63*F63*G63*H63*J63*K63*M63*(1-P63)),4)</f>
        <v>1E-4</v>
      </c>
      <c r="S63" s="65"/>
    </row>
    <row r="64" spans="1:26" ht="38.25" x14ac:dyDescent="0.25">
      <c r="A64" s="443"/>
      <c r="B64" s="292" t="s">
        <v>378</v>
      </c>
      <c r="C64" s="290" t="s">
        <v>77</v>
      </c>
      <c r="D64" s="287">
        <v>0.04</v>
      </c>
      <c r="E64" s="287">
        <v>0.02</v>
      </c>
      <c r="F64" s="289">
        <v>1.4</v>
      </c>
      <c r="G64" s="287">
        <v>1</v>
      </c>
      <c r="H64" s="287">
        <v>0.01</v>
      </c>
      <c r="I64" s="287" t="s">
        <v>72</v>
      </c>
      <c r="J64" s="287">
        <v>0.5</v>
      </c>
      <c r="K64" s="287">
        <v>0.5</v>
      </c>
      <c r="L64" s="287">
        <v>25</v>
      </c>
      <c r="M64" s="287">
        <v>34218</v>
      </c>
      <c r="N64" s="287" t="s">
        <v>73</v>
      </c>
      <c r="O64" s="291" t="s">
        <v>74</v>
      </c>
      <c r="P64" s="287">
        <v>0.8</v>
      </c>
      <c r="Q64" s="287">
        <f t="shared" si="18"/>
        <v>3.8999999999999998E-3</v>
      </c>
      <c r="R64" s="287">
        <f>ROUND((D64*E64*F64*G64*H64*J64*K64*M64*(1-P64)),4)</f>
        <v>1.9199999999999998E-2</v>
      </c>
      <c r="S64" s="65"/>
    </row>
    <row r="65" spans="1:20" ht="38.25" x14ac:dyDescent="0.25">
      <c r="A65" s="443"/>
      <c r="B65" s="292" t="s">
        <v>379</v>
      </c>
      <c r="C65" s="290" t="s">
        <v>76</v>
      </c>
      <c r="D65" s="287">
        <v>0.02</v>
      </c>
      <c r="E65" s="287">
        <v>0.01</v>
      </c>
      <c r="F65" s="289">
        <v>1.4</v>
      </c>
      <c r="G65" s="287">
        <v>1</v>
      </c>
      <c r="H65" s="287">
        <v>0.01</v>
      </c>
      <c r="I65" s="287" t="s">
        <v>72</v>
      </c>
      <c r="J65" s="287">
        <v>0.4</v>
      </c>
      <c r="K65" s="287">
        <v>0.5</v>
      </c>
      <c r="L65" s="287">
        <v>5</v>
      </c>
      <c r="M65" s="287">
        <v>2990</v>
      </c>
      <c r="N65" s="287" t="s">
        <v>73</v>
      </c>
      <c r="O65" s="291" t="s">
        <v>74</v>
      </c>
      <c r="P65" s="287">
        <v>0.8</v>
      </c>
      <c r="Q65" s="287">
        <f t="shared" si="18"/>
        <v>2.0000000000000001E-4</v>
      </c>
      <c r="R65" s="287">
        <f t="shared" ref="R65" si="21">ROUND((D65*E65*F65*G65*H65*J65*K65*M65*(1-P65)),4)</f>
        <v>2.9999999999999997E-4</v>
      </c>
      <c r="S65" s="65"/>
    </row>
    <row r="66" spans="1:20" ht="38.25" x14ac:dyDescent="0.25">
      <c r="A66" s="444"/>
      <c r="B66" s="292" t="s">
        <v>78</v>
      </c>
      <c r="C66" s="290" t="s">
        <v>76</v>
      </c>
      <c r="D66" s="287">
        <v>0.02</v>
      </c>
      <c r="E66" s="287">
        <v>0.01</v>
      </c>
      <c r="F66" s="289">
        <v>1.4</v>
      </c>
      <c r="G66" s="287">
        <v>1</v>
      </c>
      <c r="H66" s="287">
        <v>0.01</v>
      </c>
      <c r="I66" s="287" t="s">
        <v>72</v>
      </c>
      <c r="J66" s="287">
        <v>0.4</v>
      </c>
      <c r="K66" s="287">
        <v>0.5</v>
      </c>
      <c r="L66" s="287">
        <v>5</v>
      </c>
      <c r="M66" s="287">
        <v>2812</v>
      </c>
      <c r="N66" s="287" t="s">
        <v>73</v>
      </c>
      <c r="O66" s="291" t="s">
        <v>74</v>
      </c>
      <c r="P66" s="287">
        <v>0.8</v>
      </c>
      <c r="Q66" s="287">
        <f t="shared" si="18"/>
        <v>2.0000000000000001E-4</v>
      </c>
      <c r="R66" s="287">
        <f t="shared" si="20"/>
        <v>2.9999999999999997E-4</v>
      </c>
      <c r="S66" s="65"/>
    </row>
    <row r="67" spans="1:20" x14ac:dyDescent="0.25">
      <c r="A67" s="447" t="s">
        <v>79</v>
      </c>
      <c r="B67" s="448"/>
      <c r="C67" s="448"/>
      <c r="D67" s="448"/>
      <c r="E67" s="448"/>
      <c r="F67" s="448"/>
      <c r="G67" s="448"/>
      <c r="H67" s="448"/>
      <c r="I67" s="448"/>
      <c r="J67" s="448"/>
      <c r="K67" s="448"/>
      <c r="L67" s="448"/>
      <c r="M67" s="448"/>
      <c r="N67" s="448"/>
      <c r="O67" s="448"/>
      <c r="P67" s="448"/>
      <c r="Q67" s="448"/>
      <c r="R67" s="449"/>
      <c r="S67" s="107"/>
    </row>
    <row r="68" spans="1:20" ht="38.25" x14ac:dyDescent="0.25">
      <c r="A68" s="426" t="s">
        <v>340</v>
      </c>
      <c r="B68" s="427"/>
      <c r="C68" s="427"/>
      <c r="D68" s="427"/>
      <c r="E68" s="427"/>
      <c r="F68" s="427"/>
      <c r="G68" s="427"/>
      <c r="H68" s="427"/>
      <c r="I68" s="427"/>
      <c r="J68" s="427"/>
      <c r="K68" s="427"/>
      <c r="L68" s="427"/>
      <c r="M68" s="428"/>
      <c r="N68" s="294" t="s">
        <v>73</v>
      </c>
      <c r="O68" s="295" t="s">
        <v>74</v>
      </c>
      <c r="P68" s="287"/>
      <c r="Q68" s="294">
        <f>MAX(Q59,Q60,Q61,Q64,Q65,Q62,Q63,Q66)</f>
        <v>2.1899999999999999E-2</v>
      </c>
      <c r="R68" s="294">
        <f>R59+R60+R61+R64+R62+R63+R66+R65</f>
        <v>0.20649999999999996</v>
      </c>
      <c r="S68" s="72">
        <f>Q68</f>
        <v>2.1899999999999999E-2</v>
      </c>
      <c r="T68" s="72">
        <f>R68</f>
        <v>0.20649999999999996</v>
      </c>
    </row>
  </sheetData>
  <mergeCells count="40">
    <mergeCell ref="Q29:R29"/>
    <mergeCell ref="A18:O18"/>
    <mergeCell ref="A19:O19"/>
    <mergeCell ref="A21:O21"/>
    <mergeCell ref="A29:A30"/>
    <mergeCell ref="B29:B30"/>
    <mergeCell ref="C29:C30"/>
    <mergeCell ref="N29:N30"/>
    <mergeCell ref="O29:O30"/>
    <mergeCell ref="A13:O13"/>
    <mergeCell ref="A14:O14"/>
    <mergeCell ref="A15:O15"/>
    <mergeCell ref="A16:O16"/>
    <mergeCell ref="A17:O17"/>
    <mergeCell ref="A8:O8"/>
    <mergeCell ref="A9:O9"/>
    <mergeCell ref="A10:O10"/>
    <mergeCell ref="A11:O11"/>
    <mergeCell ref="A12:O12"/>
    <mergeCell ref="A1:O1"/>
    <mergeCell ref="A3:O3"/>
    <mergeCell ref="A4:O4"/>
    <mergeCell ref="A6:O6"/>
    <mergeCell ref="A7:O7"/>
    <mergeCell ref="A67:R67"/>
    <mergeCell ref="A68:M68"/>
    <mergeCell ref="A57:R57"/>
    <mergeCell ref="A58:R58"/>
    <mergeCell ref="A55:R55"/>
    <mergeCell ref="A56:M56"/>
    <mergeCell ref="A32:R32"/>
    <mergeCell ref="A47:A54"/>
    <mergeCell ref="A46:R46"/>
    <mergeCell ref="A59:A66"/>
    <mergeCell ref="A33:R33"/>
    <mergeCell ref="A34:R34"/>
    <mergeCell ref="A45:R45"/>
    <mergeCell ref="A35:A42"/>
    <mergeCell ref="A43:R43"/>
    <mergeCell ref="A44:M44"/>
  </mergeCells>
  <pageMargins left="0.31496062992125984" right="0.31496062992125984" top="0.59055118110236227" bottom="0.59055118110236227" header="0.31496062992125984" footer="0.31496062992125984"/>
  <pageSetup paperSize="9" firstPageNumber="243" orientation="landscape" useFirstPageNumber="1" horizontalDpi="1200" verticalDpi="1200" r:id="rId1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AC53"/>
  <sheetViews>
    <sheetView view="pageBreakPreview" topLeftCell="A28" zoomScale="85" zoomScaleNormal="100" zoomScaleSheetLayoutView="85" workbookViewId="0">
      <selection activeCell="Y23" sqref="Y23"/>
    </sheetView>
  </sheetViews>
  <sheetFormatPr defaultRowHeight="15" x14ac:dyDescent="0.25"/>
  <cols>
    <col min="1" max="1" width="5.7109375" customWidth="1"/>
    <col min="2" max="2" width="17" customWidth="1"/>
    <col min="3" max="3" width="12.5703125" customWidth="1"/>
    <col min="4" max="4" width="5.140625" customWidth="1"/>
    <col min="5" max="6" width="4.5703125" customWidth="1"/>
    <col min="7" max="7" width="4.42578125" customWidth="1"/>
    <col min="8" max="9" width="4.140625" customWidth="1"/>
    <col min="10" max="10" width="4.5703125" customWidth="1"/>
    <col min="11" max="11" width="4" customWidth="1"/>
    <col min="12" max="13" width="5.140625" customWidth="1"/>
    <col min="14" max="14" width="3.85546875" customWidth="1"/>
    <col min="15" max="15" width="4.7109375" customWidth="1"/>
    <col min="16" max="17" width="5" customWidth="1"/>
    <col min="18" max="18" width="17.28515625" customWidth="1"/>
    <col min="19" max="19" width="6.5703125" customWidth="1"/>
    <col min="20" max="20" width="9.140625" customWidth="1"/>
    <col min="21" max="23" width="8.7109375" customWidth="1"/>
    <col min="26" max="26" width="11.85546875" customWidth="1"/>
  </cols>
  <sheetData>
    <row r="1" spans="1:23" s="78" customFormat="1" ht="18.75" customHeight="1" x14ac:dyDescent="0.25">
      <c r="A1" s="422" t="s">
        <v>381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</row>
    <row r="2" spans="1:23" s="78" customFormat="1" ht="12.75" customHeight="1" x14ac:dyDescent="0.25">
      <c r="A2" s="74"/>
    </row>
    <row r="3" spans="1:23" s="79" customFormat="1" ht="15.75" x14ac:dyDescent="0.25">
      <c r="A3" s="423" t="s">
        <v>211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</row>
    <row r="4" spans="1:23" s="79" customFormat="1" ht="15.75" x14ac:dyDescent="0.25">
      <c r="A4" s="424" t="s">
        <v>212</v>
      </c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</row>
    <row r="5" spans="1:23" s="78" customFormat="1" ht="12" customHeight="1" x14ac:dyDescent="0.25">
      <c r="A5" s="74"/>
    </row>
    <row r="6" spans="1:23" s="78" customFormat="1" ht="28.5" customHeight="1" x14ac:dyDescent="0.25">
      <c r="A6" s="425" t="s">
        <v>240</v>
      </c>
      <c r="B6" s="425"/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  <c r="T6" s="425"/>
      <c r="U6" s="425"/>
      <c r="V6" s="77"/>
      <c r="W6" s="77"/>
    </row>
    <row r="7" spans="1:23" s="78" customFormat="1" ht="25.5" customHeight="1" x14ac:dyDescent="0.25">
      <c r="A7" s="422" t="s">
        <v>241</v>
      </c>
      <c r="B7" s="422"/>
      <c r="C7" s="422"/>
      <c r="D7" s="422"/>
      <c r="E7" s="422"/>
      <c r="F7" s="422"/>
      <c r="G7" s="422"/>
      <c r="H7" s="422"/>
      <c r="I7" s="422"/>
      <c r="J7" s="422"/>
      <c r="K7" s="422"/>
      <c r="L7" s="422"/>
      <c r="M7" s="422"/>
      <c r="N7" s="422"/>
      <c r="O7" s="422"/>
      <c r="P7" s="422"/>
      <c r="Q7" s="422"/>
      <c r="R7" s="422"/>
      <c r="S7" s="422"/>
      <c r="T7" s="422"/>
      <c r="U7" s="422"/>
      <c r="V7" s="84"/>
      <c r="W7" s="84"/>
    </row>
    <row r="8" spans="1:23" s="78" customFormat="1" ht="27.75" customHeight="1" x14ac:dyDescent="0.25">
      <c r="A8" s="425" t="s">
        <v>242</v>
      </c>
      <c r="B8" s="425"/>
      <c r="C8" s="425"/>
      <c r="D8" s="425"/>
      <c r="E8" s="425"/>
      <c r="F8" s="425"/>
      <c r="G8" s="425"/>
      <c r="H8" s="425"/>
      <c r="I8" s="425"/>
      <c r="J8" s="425"/>
      <c r="K8" s="425"/>
      <c r="L8" s="425"/>
      <c r="M8" s="425"/>
      <c r="N8" s="425"/>
      <c r="O8" s="425"/>
    </row>
    <row r="9" spans="1:23" s="78" customFormat="1" ht="25.5" customHeight="1" x14ac:dyDescent="0.25">
      <c r="A9" s="422" t="s">
        <v>243</v>
      </c>
      <c r="B9" s="422"/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2"/>
      <c r="N9" s="422"/>
      <c r="O9" s="422"/>
      <c r="P9" s="422"/>
      <c r="Q9" s="422"/>
      <c r="R9" s="422"/>
      <c r="S9" s="422"/>
      <c r="T9" s="422"/>
      <c r="U9" s="422"/>
      <c r="V9" s="84"/>
      <c r="W9" s="84"/>
    </row>
    <row r="10" spans="1:23" s="78" customFormat="1" ht="15.75" x14ac:dyDescent="0.25">
      <c r="A10" s="424" t="s">
        <v>229</v>
      </c>
      <c r="B10" s="424"/>
      <c r="C10" s="424"/>
      <c r="D10" s="424"/>
      <c r="E10" s="424"/>
      <c r="F10" s="424"/>
      <c r="G10" s="424"/>
      <c r="H10" s="424"/>
      <c r="I10" s="424"/>
      <c r="J10" s="424"/>
      <c r="K10" s="424"/>
      <c r="L10" s="424"/>
      <c r="M10" s="424"/>
      <c r="N10" s="424"/>
      <c r="O10" s="424"/>
    </row>
    <row r="11" spans="1:23" s="79" customFormat="1" ht="16.5" customHeight="1" x14ac:dyDescent="0.25">
      <c r="A11" s="424" t="s">
        <v>244</v>
      </c>
      <c r="B11" s="424"/>
      <c r="C11" s="424"/>
      <c r="D11" s="424"/>
      <c r="E11" s="424"/>
      <c r="F11" s="424"/>
      <c r="G11" s="424"/>
      <c r="H11" s="424"/>
      <c r="I11" s="424"/>
      <c r="J11" s="424"/>
      <c r="K11" s="424"/>
      <c r="L11" s="424"/>
      <c r="M11" s="424"/>
      <c r="N11" s="424"/>
      <c r="O11" s="424"/>
    </row>
    <row r="12" spans="1:23" s="79" customFormat="1" ht="15.75" x14ac:dyDescent="0.25">
      <c r="A12" s="424" t="s">
        <v>245</v>
      </c>
      <c r="B12" s="424"/>
      <c r="C12" s="424"/>
      <c r="D12" s="424"/>
      <c r="E12" s="424"/>
      <c r="F12" s="424"/>
      <c r="G12" s="424"/>
      <c r="H12" s="424"/>
      <c r="I12" s="424"/>
      <c r="J12" s="424"/>
      <c r="K12" s="424"/>
      <c r="L12" s="424"/>
      <c r="M12" s="424"/>
      <c r="N12" s="424"/>
      <c r="O12" s="424"/>
    </row>
    <row r="13" spans="1:23" s="79" customFormat="1" ht="15.75" x14ac:dyDescent="0.25">
      <c r="A13" s="424" t="s">
        <v>246</v>
      </c>
      <c r="B13" s="424"/>
      <c r="C13" s="424"/>
      <c r="D13" s="424"/>
      <c r="E13" s="424"/>
      <c r="F13" s="424"/>
      <c r="G13" s="424"/>
      <c r="H13" s="424"/>
      <c r="I13" s="424"/>
      <c r="J13" s="424"/>
      <c r="K13" s="424"/>
      <c r="L13" s="424"/>
      <c r="M13" s="424"/>
      <c r="N13" s="424"/>
      <c r="O13" s="424"/>
    </row>
    <row r="14" spans="1:23" s="79" customFormat="1" ht="18.75" customHeight="1" x14ac:dyDescent="0.25">
      <c r="A14" s="424" t="s">
        <v>247</v>
      </c>
      <c r="B14" s="424"/>
      <c r="C14" s="424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4"/>
      <c r="O14" s="424"/>
      <c r="P14" s="424"/>
      <c r="Q14" s="424"/>
      <c r="R14" s="424"/>
      <c r="S14" s="424"/>
      <c r="T14" s="424"/>
      <c r="U14" s="424"/>
      <c r="V14" s="85"/>
      <c r="W14" s="85"/>
    </row>
    <row r="15" spans="1:23" s="79" customFormat="1" ht="15" customHeight="1" x14ac:dyDescent="0.25">
      <c r="A15" s="424" t="s">
        <v>248</v>
      </c>
      <c r="B15" s="424"/>
      <c r="C15" s="424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4"/>
      <c r="O15" s="424"/>
    </row>
    <row r="16" spans="1:23" s="79" customFormat="1" ht="15" customHeight="1" x14ac:dyDescent="0.25">
      <c r="A16" s="424" t="s">
        <v>249</v>
      </c>
      <c r="B16" s="424"/>
      <c r="C16" s="424"/>
      <c r="D16" s="424"/>
      <c r="E16" s="424"/>
      <c r="F16" s="424"/>
      <c r="G16" s="424"/>
      <c r="H16" s="424"/>
      <c r="I16" s="424"/>
      <c r="J16" s="424"/>
      <c r="K16" s="424"/>
      <c r="L16" s="424"/>
      <c r="M16" s="424"/>
      <c r="N16" s="424"/>
      <c r="O16" s="424"/>
    </row>
    <row r="17" spans="1:23" s="79" customFormat="1" ht="15" customHeight="1" x14ac:dyDescent="0.25">
      <c r="A17" s="424" t="s">
        <v>250</v>
      </c>
      <c r="B17" s="424"/>
      <c r="C17" s="424"/>
      <c r="D17" s="424"/>
      <c r="E17" s="424"/>
      <c r="F17" s="424"/>
      <c r="G17" s="424"/>
      <c r="H17" s="424"/>
      <c r="I17" s="424"/>
      <c r="J17" s="424"/>
      <c r="K17" s="424"/>
      <c r="L17" s="424"/>
      <c r="M17" s="424"/>
      <c r="N17" s="424"/>
      <c r="O17" s="424"/>
      <c r="P17" s="424"/>
      <c r="Q17" s="424"/>
      <c r="R17" s="424"/>
      <c r="S17" s="424"/>
      <c r="T17" s="424"/>
      <c r="U17" s="424"/>
      <c r="V17" s="85"/>
      <c r="W17" s="85"/>
    </row>
    <row r="18" spans="1:23" s="79" customFormat="1" ht="35.1" customHeight="1" x14ac:dyDescent="0.25">
      <c r="A18" s="424" t="s">
        <v>251</v>
      </c>
      <c r="B18" s="424"/>
      <c r="C18" s="424"/>
      <c r="D18" s="424"/>
      <c r="E18" s="424"/>
      <c r="F18" s="424"/>
      <c r="G18" s="424"/>
      <c r="H18" s="424"/>
      <c r="I18" s="424"/>
      <c r="J18" s="424"/>
      <c r="K18" s="424"/>
      <c r="L18" s="424"/>
      <c r="M18" s="424"/>
      <c r="N18" s="424"/>
      <c r="O18" s="424"/>
      <c r="P18" s="424"/>
      <c r="Q18" s="424"/>
      <c r="R18" s="424"/>
      <c r="S18" s="424"/>
      <c r="T18" s="424"/>
      <c r="U18" s="424"/>
      <c r="V18" s="85"/>
      <c r="W18" s="85"/>
    </row>
    <row r="19" spans="1:23" s="79" customFormat="1" ht="15" customHeight="1" x14ac:dyDescent="0.25">
      <c r="A19" s="424" t="s">
        <v>252</v>
      </c>
      <c r="B19" s="424"/>
      <c r="C19" s="424"/>
      <c r="D19" s="424"/>
      <c r="E19" s="424"/>
      <c r="F19" s="424"/>
      <c r="G19" s="424"/>
      <c r="H19" s="424"/>
      <c r="I19" s="424"/>
      <c r="J19" s="424"/>
      <c r="K19" s="424"/>
      <c r="L19" s="424"/>
      <c r="M19" s="424"/>
      <c r="N19" s="424"/>
      <c r="O19" s="424"/>
    </row>
    <row r="20" spans="1:23" s="78" customFormat="1" ht="15" customHeight="1" x14ac:dyDescent="0.25">
      <c r="A20" s="424" t="s">
        <v>253</v>
      </c>
      <c r="B20" s="424"/>
      <c r="C20" s="424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4"/>
      <c r="O20" s="424"/>
    </row>
    <row r="21" spans="1:23" s="78" customFormat="1" ht="15" customHeight="1" x14ac:dyDescent="0.25">
      <c r="A21" s="424" t="s">
        <v>254</v>
      </c>
      <c r="B21" s="424"/>
      <c r="C21" s="424"/>
      <c r="D21" s="424"/>
      <c r="E21" s="424"/>
      <c r="F21" s="424"/>
      <c r="G21" s="424"/>
      <c r="H21" s="424"/>
      <c r="I21" s="424"/>
      <c r="J21" s="424"/>
      <c r="K21" s="424"/>
      <c r="L21" s="424"/>
      <c r="M21" s="424"/>
      <c r="N21" s="424"/>
      <c r="O21" s="424"/>
    </row>
    <row r="22" spans="1:23" s="78" customFormat="1" ht="15" customHeight="1" x14ac:dyDescent="0.25">
      <c r="A22" s="424" t="s">
        <v>255</v>
      </c>
      <c r="B22" s="424"/>
      <c r="C22" s="424"/>
      <c r="D22" s="424"/>
      <c r="E22" s="424"/>
      <c r="F22" s="424"/>
      <c r="G22" s="424"/>
      <c r="H22" s="424"/>
      <c r="I22" s="424"/>
      <c r="J22" s="424"/>
      <c r="K22" s="424"/>
      <c r="L22" s="424"/>
      <c r="M22" s="424"/>
      <c r="N22" s="424"/>
      <c r="O22" s="424"/>
    </row>
    <row r="23" spans="1:23" s="78" customFormat="1" ht="17.25" customHeight="1" x14ac:dyDescent="0.25">
      <c r="A23" s="424" t="s">
        <v>256</v>
      </c>
      <c r="B23" s="424"/>
      <c r="C23" s="424"/>
      <c r="D23" s="424"/>
      <c r="E23" s="424"/>
      <c r="F23" s="424"/>
      <c r="G23" s="424"/>
      <c r="H23" s="424"/>
      <c r="I23" s="424"/>
      <c r="J23" s="424"/>
      <c r="K23" s="424"/>
      <c r="L23" s="424"/>
      <c r="M23" s="424"/>
      <c r="N23" s="424"/>
      <c r="O23" s="424"/>
      <c r="P23" s="424"/>
      <c r="Q23" s="424"/>
      <c r="R23" s="424"/>
      <c r="S23" s="424"/>
      <c r="T23" s="424"/>
      <c r="U23" s="424"/>
      <c r="V23" s="85"/>
      <c r="W23" s="85"/>
    </row>
    <row r="24" spans="1:23" s="78" customFormat="1" ht="15" customHeight="1" x14ac:dyDescent="0.25">
      <c r="A24" s="424" t="s">
        <v>257</v>
      </c>
      <c r="B24" s="424"/>
      <c r="C24" s="424"/>
      <c r="D24" s="424"/>
      <c r="E24" s="424"/>
      <c r="F24" s="424"/>
      <c r="G24" s="424"/>
      <c r="H24" s="424"/>
      <c r="I24" s="424"/>
      <c r="J24" s="424"/>
      <c r="K24" s="424"/>
      <c r="L24" s="424"/>
      <c r="M24" s="424"/>
      <c r="N24" s="424"/>
      <c r="O24" s="424"/>
    </row>
    <row r="25" spans="1:23" s="79" customFormat="1" ht="15" customHeight="1" x14ac:dyDescent="0.25">
      <c r="A25" s="424" t="s">
        <v>258</v>
      </c>
      <c r="B25" s="424"/>
      <c r="C25" s="424"/>
      <c r="D25" s="424"/>
      <c r="E25" s="424"/>
      <c r="F25" s="424"/>
      <c r="G25" s="424"/>
      <c r="H25" s="424"/>
      <c r="I25" s="424"/>
      <c r="J25" s="424"/>
      <c r="K25" s="424"/>
      <c r="L25" s="424"/>
      <c r="M25" s="424"/>
      <c r="N25" s="424"/>
      <c r="O25" s="424"/>
    </row>
    <row r="26" spans="1:23" s="78" customFormat="1" ht="15" customHeight="1" x14ac:dyDescent="0.25">
      <c r="A26" s="424" t="s">
        <v>259</v>
      </c>
      <c r="B26" s="424"/>
      <c r="C26" s="424"/>
      <c r="D26" s="424"/>
      <c r="E26" s="424"/>
      <c r="F26" s="424"/>
      <c r="G26" s="424"/>
      <c r="H26" s="424"/>
      <c r="I26" s="424"/>
      <c r="J26" s="424"/>
      <c r="K26" s="424"/>
      <c r="L26" s="424"/>
      <c r="M26" s="424"/>
      <c r="N26" s="424"/>
      <c r="O26" s="424"/>
    </row>
    <row r="27" spans="1:23" s="78" customFormat="1" ht="9" customHeight="1" x14ac:dyDescent="0.25">
      <c r="A27" s="424"/>
      <c r="B27" s="424"/>
      <c r="C27" s="424"/>
      <c r="D27" s="424"/>
      <c r="E27" s="424"/>
      <c r="F27" s="424"/>
      <c r="G27" s="424"/>
      <c r="H27" s="424"/>
      <c r="I27" s="424"/>
      <c r="J27" s="424"/>
      <c r="K27" s="424"/>
      <c r="L27" s="424"/>
      <c r="M27" s="424"/>
      <c r="N27" s="424"/>
      <c r="O27" s="424"/>
    </row>
    <row r="28" spans="1:23" s="78" customFormat="1" ht="18.75" customHeight="1" x14ac:dyDescent="0.25">
      <c r="A28" s="425" t="s">
        <v>261</v>
      </c>
      <c r="B28" s="425"/>
      <c r="C28" s="425"/>
      <c r="D28" s="425"/>
      <c r="E28" s="425"/>
      <c r="F28" s="425"/>
      <c r="G28" s="425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  <c r="T28" s="425"/>
      <c r="U28" s="425"/>
      <c r="V28" s="77"/>
      <c r="W28" s="77"/>
    </row>
    <row r="29" spans="1:23" s="78" customFormat="1" ht="18.75" customHeight="1" x14ac:dyDescent="0.25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</row>
    <row r="31" spans="1:23" ht="15.75" x14ac:dyDescent="0.25">
      <c r="A31" s="410" t="s">
        <v>413</v>
      </c>
      <c r="B31" s="410"/>
      <c r="C31" s="410"/>
      <c r="D31" s="410"/>
      <c r="E31" s="410"/>
      <c r="F31" s="410"/>
      <c r="G31" s="410"/>
      <c r="H31" s="410"/>
      <c r="I31" s="410"/>
      <c r="J31" s="410"/>
      <c r="K31" s="410"/>
      <c r="L31" s="410"/>
      <c r="M31" s="410"/>
      <c r="N31" s="410"/>
      <c r="O31" s="410"/>
      <c r="P31" s="410"/>
      <c r="Q31" s="410"/>
      <c r="R31" s="410"/>
      <c r="S31" s="410"/>
      <c r="T31" s="410"/>
      <c r="U31" s="410"/>
      <c r="V31" s="64"/>
      <c r="W31" s="64"/>
    </row>
    <row r="32" spans="1:23" ht="25.5" x14ac:dyDescent="0.25">
      <c r="A32" s="4" t="s">
        <v>1</v>
      </c>
      <c r="B32" s="4" t="s">
        <v>35</v>
      </c>
      <c r="C32" s="4" t="s">
        <v>3</v>
      </c>
      <c r="D32" s="4" t="s">
        <v>36</v>
      </c>
      <c r="E32" s="4" t="s">
        <v>37</v>
      </c>
      <c r="F32" s="4" t="s">
        <v>38</v>
      </c>
      <c r="G32" s="4" t="s">
        <v>39</v>
      </c>
      <c r="H32" s="4" t="s">
        <v>40</v>
      </c>
      <c r="I32" s="4" t="s">
        <v>41</v>
      </c>
      <c r="J32" s="4" t="s">
        <v>42</v>
      </c>
      <c r="K32" s="4" t="s">
        <v>43</v>
      </c>
      <c r="L32" s="4" t="s">
        <v>44</v>
      </c>
      <c r="M32" s="4" t="s">
        <v>45</v>
      </c>
      <c r="N32" s="4" t="s">
        <v>46</v>
      </c>
      <c r="O32" s="4" t="s">
        <v>47</v>
      </c>
      <c r="P32" s="4" t="s">
        <v>48</v>
      </c>
      <c r="Q32" s="4" t="s">
        <v>49</v>
      </c>
      <c r="R32" s="4" t="s">
        <v>13</v>
      </c>
      <c r="S32" s="4" t="s">
        <v>14</v>
      </c>
      <c r="T32" s="4" t="s">
        <v>32</v>
      </c>
      <c r="U32" s="4" t="s">
        <v>50</v>
      </c>
      <c r="V32" s="81"/>
      <c r="W32" s="81"/>
    </row>
    <row r="33" spans="1:29" ht="12" customHeight="1" x14ac:dyDescent="0.25">
      <c r="A33" s="4">
        <v>1</v>
      </c>
      <c r="B33" s="4">
        <v>2</v>
      </c>
      <c r="C33" s="4">
        <v>3</v>
      </c>
      <c r="D33" s="4">
        <v>4</v>
      </c>
      <c r="E33" s="4">
        <v>5</v>
      </c>
      <c r="F33" s="4">
        <v>6</v>
      </c>
      <c r="G33" s="4">
        <v>7</v>
      </c>
      <c r="H33" s="4">
        <v>8</v>
      </c>
      <c r="I33" s="4">
        <v>9</v>
      </c>
      <c r="J33" s="4">
        <v>10</v>
      </c>
      <c r="K33" s="4">
        <v>11</v>
      </c>
      <c r="L33" s="4">
        <v>12</v>
      </c>
      <c r="M33" s="4">
        <v>13</v>
      </c>
      <c r="N33" s="4">
        <v>14</v>
      </c>
      <c r="O33" s="4">
        <v>15</v>
      </c>
      <c r="P33" s="4">
        <v>16</v>
      </c>
      <c r="Q33" s="4">
        <v>17</v>
      </c>
      <c r="R33" s="4">
        <v>18</v>
      </c>
      <c r="S33" s="4">
        <v>19</v>
      </c>
      <c r="T33" s="4">
        <v>20</v>
      </c>
      <c r="U33" s="4">
        <v>21</v>
      </c>
      <c r="V33" s="81"/>
      <c r="W33" s="81"/>
    </row>
    <row r="34" spans="1:29" x14ac:dyDescent="0.25">
      <c r="A34" s="438" t="s">
        <v>205</v>
      </c>
      <c r="B34" s="461"/>
      <c r="C34" s="461"/>
      <c r="D34" s="461"/>
      <c r="E34" s="461"/>
      <c r="F34" s="461"/>
      <c r="G34" s="461"/>
      <c r="H34" s="461"/>
      <c r="I34" s="461"/>
      <c r="J34" s="461"/>
      <c r="K34" s="461"/>
      <c r="L34" s="461"/>
      <c r="M34" s="461"/>
      <c r="N34" s="461"/>
      <c r="O34" s="461"/>
      <c r="P34" s="461"/>
      <c r="Q34" s="461"/>
      <c r="R34" s="461"/>
      <c r="S34" s="461"/>
      <c r="T34" s="461"/>
      <c r="U34" s="462"/>
      <c r="V34" s="86"/>
      <c r="W34" s="86"/>
    </row>
    <row r="35" spans="1:29" x14ac:dyDescent="0.25">
      <c r="A35" s="411" t="s">
        <v>17</v>
      </c>
      <c r="B35" s="412"/>
      <c r="C35" s="412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2"/>
      <c r="O35" s="412"/>
      <c r="P35" s="412"/>
      <c r="Q35" s="412"/>
      <c r="R35" s="412"/>
      <c r="S35" s="412"/>
      <c r="T35" s="412"/>
      <c r="U35" s="413"/>
      <c r="V35" s="66"/>
      <c r="W35" s="66"/>
    </row>
    <row r="36" spans="1:29" x14ac:dyDescent="0.25">
      <c r="A36" s="411" t="s">
        <v>20</v>
      </c>
      <c r="B36" s="458"/>
      <c r="C36" s="458"/>
      <c r="D36" s="458"/>
      <c r="E36" s="458"/>
      <c r="F36" s="458"/>
      <c r="G36" s="458"/>
      <c r="H36" s="458"/>
      <c r="I36" s="458"/>
      <c r="J36" s="458"/>
      <c r="K36" s="458"/>
      <c r="L36" s="458"/>
      <c r="M36" s="458"/>
      <c r="N36" s="458"/>
      <c r="O36" s="458"/>
      <c r="P36" s="458"/>
      <c r="Q36" s="458"/>
      <c r="R36" s="458"/>
      <c r="S36" s="458"/>
      <c r="T36" s="458"/>
      <c r="U36" s="459"/>
      <c r="V36" s="87"/>
      <c r="W36" s="87"/>
      <c r="Z36" s="63"/>
    </row>
    <row r="37" spans="1:29" ht="25.5" x14ac:dyDescent="0.25">
      <c r="A37" s="436">
        <v>9002</v>
      </c>
      <c r="B37" s="288" t="s">
        <v>51</v>
      </c>
      <c r="C37" s="433" t="s">
        <v>202</v>
      </c>
      <c r="D37" s="286">
        <v>1.3</v>
      </c>
      <c r="E37" s="286">
        <v>3.5</v>
      </c>
      <c r="F37" s="286">
        <v>1</v>
      </c>
      <c r="G37" s="286">
        <v>1.3</v>
      </c>
      <c r="H37" s="286">
        <v>1.2</v>
      </c>
      <c r="I37" s="286">
        <v>0.01</v>
      </c>
      <c r="J37" s="286">
        <v>0.01</v>
      </c>
      <c r="K37" s="286">
        <v>3</v>
      </c>
      <c r="L37" s="286">
        <v>1450</v>
      </c>
      <c r="M37" s="286">
        <v>2E-3</v>
      </c>
      <c r="N37" s="286">
        <v>1.5</v>
      </c>
      <c r="O37" s="286">
        <v>14</v>
      </c>
      <c r="P37" s="286">
        <v>1</v>
      </c>
      <c r="Q37" s="286">
        <f>ROUND((Y37/X37),0)</f>
        <v>62</v>
      </c>
      <c r="R37" s="287" t="s">
        <v>52</v>
      </c>
      <c r="S37" s="287">
        <v>2908</v>
      </c>
      <c r="T37" s="286">
        <f>ROUND((D37*E37*F37*K37*N37*L37*I37*J37/3600)+(G37*H37*I37*M37*O37*P37),4)</f>
        <v>1.2999999999999999E-3</v>
      </c>
      <c r="U37" s="286">
        <f>ROUND((((3.6*T37*Q37)/1000)),4)</f>
        <v>2.9999999999999997E-4</v>
      </c>
      <c r="V37" s="83"/>
      <c r="W37" s="83"/>
      <c r="X37">
        <v>20</v>
      </c>
      <c r="Y37">
        <f>3120*0.4</f>
        <v>1248</v>
      </c>
      <c r="Z37" s="63"/>
      <c r="AA37" s="2"/>
    </row>
    <row r="38" spans="1:29" ht="38.25" x14ac:dyDescent="0.25">
      <c r="A38" s="464"/>
      <c r="B38" s="288" t="s">
        <v>53</v>
      </c>
      <c r="C38" s="460"/>
      <c r="D38" s="286">
        <v>1.9</v>
      </c>
      <c r="E38" s="286">
        <v>3.5</v>
      </c>
      <c r="F38" s="286">
        <v>1</v>
      </c>
      <c r="G38" s="286">
        <v>1.3</v>
      </c>
      <c r="H38" s="286">
        <v>1.2</v>
      </c>
      <c r="I38" s="286">
        <v>0.01</v>
      </c>
      <c r="J38" s="286">
        <v>0.01</v>
      </c>
      <c r="K38" s="286">
        <v>3</v>
      </c>
      <c r="L38" s="286">
        <v>1450</v>
      </c>
      <c r="M38" s="286">
        <v>2E-3</v>
      </c>
      <c r="N38" s="286">
        <v>1.5</v>
      </c>
      <c r="O38" s="286">
        <v>14</v>
      </c>
      <c r="P38" s="286">
        <v>1</v>
      </c>
      <c r="Q38" s="286">
        <f>ROUND((Y38/X38),0)</f>
        <v>47</v>
      </c>
      <c r="R38" s="287" t="s">
        <v>52</v>
      </c>
      <c r="S38" s="287">
        <v>2908</v>
      </c>
      <c r="T38" s="286">
        <f>ROUND((D38*E38*F38*K38*N38*L38*I38*J38/3600)+(G38*H38*I38*M38*O38*P38),4)</f>
        <v>1.6000000000000001E-3</v>
      </c>
      <c r="U38" s="286">
        <f>ROUND((((3.6*T38*Q38)/1000)),4)</f>
        <v>2.9999999999999997E-4</v>
      </c>
      <c r="V38" s="83"/>
      <c r="W38" s="83"/>
      <c r="X38">
        <v>40</v>
      </c>
      <c r="Y38">
        <f>3120*0.6</f>
        <v>1872</v>
      </c>
      <c r="AA38" s="2"/>
    </row>
    <row r="39" spans="1:29" ht="25.5" x14ac:dyDescent="0.25">
      <c r="A39" s="464"/>
      <c r="B39" s="288" t="s">
        <v>51</v>
      </c>
      <c r="C39" s="433" t="s">
        <v>206</v>
      </c>
      <c r="D39" s="286">
        <v>1.3</v>
      </c>
      <c r="E39" s="286">
        <v>3.5</v>
      </c>
      <c r="F39" s="286">
        <v>1</v>
      </c>
      <c r="G39" s="286">
        <v>1.3</v>
      </c>
      <c r="H39" s="286">
        <v>1.2</v>
      </c>
      <c r="I39" s="286">
        <v>0.01</v>
      </c>
      <c r="J39" s="286">
        <v>0.01</v>
      </c>
      <c r="K39" s="286">
        <v>3</v>
      </c>
      <c r="L39" s="286">
        <v>1450</v>
      </c>
      <c r="M39" s="286">
        <v>2E-3</v>
      </c>
      <c r="N39" s="286">
        <v>1.5</v>
      </c>
      <c r="O39" s="286">
        <v>14</v>
      </c>
      <c r="P39" s="286">
        <v>1</v>
      </c>
      <c r="Q39" s="286">
        <f t="shared" ref="Q39:Q40" si="0">ROUND((Y39/X39),0)</f>
        <v>684</v>
      </c>
      <c r="R39" s="287" t="s">
        <v>52</v>
      </c>
      <c r="S39" s="287">
        <v>2908</v>
      </c>
      <c r="T39" s="286">
        <f t="shared" ref="T39:T40" si="1">ROUND((D39*E39*F39*K39*N39*L39*I39*J39/3600)+(G39*H39*I39*M39*O39*P39),4)</f>
        <v>1.2999999999999999E-3</v>
      </c>
      <c r="U39" s="286">
        <f t="shared" ref="U39:U40" si="2">ROUND((((3.6*T39*Q39)/1000)),4)</f>
        <v>3.2000000000000002E-3</v>
      </c>
      <c r="V39" s="88"/>
      <c r="W39" s="88"/>
      <c r="X39">
        <v>20</v>
      </c>
      <c r="Y39">
        <f>34214.4*0.4</f>
        <v>13685.760000000002</v>
      </c>
    </row>
    <row r="40" spans="1:29" ht="38.25" x14ac:dyDescent="0.25">
      <c r="A40" s="464"/>
      <c r="B40" s="288" t="s">
        <v>53</v>
      </c>
      <c r="C40" s="432"/>
      <c r="D40" s="286">
        <v>1.9</v>
      </c>
      <c r="E40" s="286">
        <v>3.5</v>
      </c>
      <c r="F40" s="286">
        <v>1</v>
      </c>
      <c r="G40" s="286">
        <v>1.3</v>
      </c>
      <c r="H40" s="286">
        <v>1.2</v>
      </c>
      <c r="I40" s="286">
        <v>0.01</v>
      </c>
      <c r="J40" s="286">
        <v>0.01</v>
      </c>
      <c r="K40" s="286">
        <v>3</v>
      </c>
      <c r="L40" s="286">
        <v>1450</v>
      </c>
      <c r="M40" s="286">
        <v>2E-3</v>
      </c>
      <c r="N40" s="286">
        <v>1.5</v>
      </c>
      <c r="O40" s="286">
        <v>14</v>
      </c>
      <c r="P40" s="286">
        <v>1</v>
      </c>
      <c r="Q40" s="286">
        <f t="shared" si="0"/>
        <v>513</v>
      </c>
      <c r="R40" s="287" t="s">
        <v>52</v>
      </c>
      <c r="S40" s="287">
        <v>2908</v>
      </c>
      <c r="T40" s="286">
        <f t="shared" si="1"/>
        <v>1.6000000000000001E-3</v>
      </c>
      <c r="U40" s="286">
        <f t="shared" si="2"/>
        <v>3.0000000000000001E-3</v>
      </c>
      <c r="V40" s="88"/>
      <c r="W40" s="88"/>
      <c r="X40">
        <v>40</v>
      </c>
      <c r="Y40">
        <f>34214.4*0.6</f>
        <v>20528.64</v>
      </c>
    </row>
    <row r="41" spans="1:29" ht="22.5" customHeight="1" x14ac:dyDescent="0.25">
      <c r="A41" s="463" t="s">
        <v>341</v>
      </c>
      <c r="B41" s="429"/>
      <c r="C41" s="429"/>
      <c r="D41" s="429"/>
      <c r="E41" s="429"/>
      <c r="F41" s="429"/>
      <c r="G41" s="429"/>
      <c r="H41" s="429"/>
      <c r="I41" s="429"/>
      <c r="J41" s="429"/>
      <c r="K41" s="429"/>
      <c r="L41" s="429"/>
      <c r="M41" s="429"/>
      <c r="N41" s="429"/>
      <c r="O41" s="429"/>
      <c r="P41" s="429"/>
      <c r="Q41" s="430"/>
      <c r="R41" s="294" t="s">
        <v>52</v>
      </c>
      <c r="S41" s="294">
        <v>2908</v>
      </c>
      <c r="T41" s="296">
        <f>MAX(T37,T39)+MAX(T38,T40)</f>
        <v>2.8999999999999998E-3</v>
      </c>
      <c r="U41" s="296">
        <f>U37+U38+U39+U40</f>
        <v>6.8000000000000005E-3</v>
      </c>
      <c r="V41" s="72">
        <f>T41</f>
        <v>2.8999999999999998E-3</v>
      </c>
      <c r="W41" s="72">
        <f>U41</f>
        <v>6.8000000000000005E-3</v>
      </c>
      <c r="Y41" s="2"/>
      <c r="Z41" s="2"/>
      <c r="AA41" s="2"/>
    </row>
    <row r="42" spans="1:29" ht="12" customHeight="1" x14ac:dyDescent="0.25">
      <c r="A42" s="411" t="s">
        <v>21</v>
      </c>
      <c r="B42" s="412"/>
      <c r="C42" s="412"/>
      <c r="D42" s="412"/>
      <c r="E42" s="412"/>
      <c r="F42" s="412"/>
      <c r="G42" s="412"/>
      <c r="H42" s="412"/>
      <c r="I42" s="412"/>
      <c r="J42" s="412"/>
      <c r="K42" s="412"/>
      <c r="L42" s="412"/>
      <c r="M42" s="412"/>
      <c r="N42" s="412"/>
      <c r="O42" s="412"/>
      <c r="P42" s="412"/>
      <c r="Q42" s="412"/>
      <c r="R42" s="412"/>
      <c r="S42" s="412"/>
      <c r="T42" s="412"/>
      <c r="U42" s="413"/>
      <c r="V42" s="66"/>
      <c r="W42" s="66"/>
    </row>
    <row r="43" spans="1:29" x14ac:dyDescent="0.25">
      <c r="A43" s="411" t="s">
        <v>20</v>
      </c>
      <c r="B43" s="458"/>
      <c r="C43" s="458"/>
      <c r="D43" s="458"/>
      <c r="E43" s="458"/>
      <c r="F43" s="458"/>
      <c r="G43" s="458"/>
      <c r="H43" s="458"/>
      <c r="I43" s="458"/>
      <c r="J43" s="458"/>
      <c r="K43" s="458"/>
      <c r="L43" s="458"/>
      <c r="M43" s="458"/>
      <c r="N43" s="458"/>
      <c r="O43" s="458"/>
      <c r="P43" s="458"/>
      <c r="Q43" s="458"/>
      <c r="R43" s="458"/>
      <c r="S43" s="458"/>
      <c r="T43" s="458"/>
      <c r="U43" s="459"/>
      <c r="V43" s="87"/>
      <c r="W43" s="87"/>
    </row>
    <row r="44" spans="1:29" ht="25.5" x14ac:dyDescent="0.25">
      <c r="A44" s="436">
        <v>9002</v>
      </c>
      <c r="B44" s="288" t="s">
        <v>51</v>
      </c>
      <c r="C44" s="433" t="s">
        <v>202</v>
      </c>
      <c r="D44" s="286">
        <v>1.3</v>
      </c>
      <c r="E44" s="286">
        <v>3.5</v>
      </c>
      <c r="F44" s="286">
        <v>1</v>
      </c>
      <c r="G44" s="286">
        <v>1.3</v>
      </c>
      <c r="H44" s="286">
        <v>1.2</v>
      </c>
      <c r="I44" s="286">
        <v>0.01</v>
      </c>
      <c r="J44" s="286">
        <v>0.01</v>
      </c>
      <c r="K44" s="286">
        <v>3</v>
      </c>
      <c r="L44" s="286">
        <v>1450</v>
      </c>
      <c r="M44" s="286">
        <v>2E-3</v>
      </c>
      <c r="N44" s="286">
        <v>1.5</v>
      </c>
      <c r="O44" s="286">
        <v>14</v>
      </c>
      <c r="P44" s="286">
        <v>1</v>
      </c>
      <c r="Q44" s="286">
        <f>ROUND((Y44/X44),0)</f>
        <v>187</v>
      </c>
      <c r="R44" s="287" t="s">
        <v>52</v>
      </c>
      <c r="S44" s="287">
        <v>2908</v>
      </c>
      <c r="T44" s="286">
        <f>ROUND((D44*E44*F44*K44*N44*L44*I44*J44/3600)+(G44*H44*I44*M44*O44*P44),4)</f>
        <v>1.2999999999999999E-3</v>
      </c>
      <c r="U44" s="286">
        <f>ROUND((((3.6*T44*Q44)/1000)),4)</f>
        <v>8.9999999999999998E-4</v>
      </c>
      <c r="V44" s="83"/>
      <c r="W44" s="83"/>
      <c r="X44" s="2">
        <v>20</v>
      </c>
      <c r="Y44" s="2">
        <f>9360*0.4</f>
        <v>3744</v>
      </c>
      <c r="Z44" s="63"/>
    </row>
    <row r="45" spans="1:29" ht="38.25" x14ac:dyDescent="0.25">
      <c r="A45" s="464"/>
      <c r="B45" s="288" t="s">
        <v>53</v>
      </c>
      <c r="C45" s="460"/>
      <c r="D45" s="286">
        <v>1.9</v>
      </c>
      <c r="E45" s="286">
        <v>3.5</v>
      </c>
      <c r="F45" s="286">
        <v>1</v>
      </c>
      <c r="G45" s="286">
        <v>1.3</v>
      </c>
      <c r="H45" s="286">
        <v>1.2</v>
      </c>
      <c r="I45" s="286">
        <v>0.01</v>
      </c>
      <c r="J45" s="286">
        <v>0.01</v>
      </c>
      <c r="K45" s="286">
        <v>2</v>
      </c>
      <c r="L45" s="286">
        <v>1450</v>
      </c>
      <c r="M45" s="286">
        <v>2E-3</v>
      </c>
      <c r="N45" s="286">
        <v>1.5</v>
      </c>
      <c r="O45" s="286">
        <v>14</v>
      </c>
      <c r="P45" s="286">
        <v>1</v>
      </c>
      <c r="Q45" s="286">
        <f>ROUND((Y45/X45),0)</f>
        <v>281</v>
      </c>
      <c r="R45" s="287" t="s">
        <v>52</v>
      </c>
      <c r="S45" s="287">
        <v>2908</v>
      </c>
      <c r="T45" s="286">
        <f>ROUND((D45*E45*F45*K45*N45*L45*I45*J45/3600)+(G45*H45*I45*M45*O45*P45),4)</f>
        <v>1.1999999999999999E-3</v>
      </c>
      <c r="U45" s="286">
        <f>ROUND((((3.6*T45*Q45)/1000)),4)</f>
        <v>1.1999999999999999E-3</v>
      </c>
      <c r="V45" s="83"/>
      <c r="W45" s="83"/>
      <c r="X45" s="2">
        <v>20</v>
      </c>
      <c r="Y45" s="2">
        <f>9360*0.6</f>
        <v>5616</v>
      </c>
      <c r="Z45" s="63"/>
      <c r="AA45" s="2"/>
    </row>
    <row r="46" spans="1:29" ht="25.5" x14ac:dyDescent="0.25">
      <c r="A46" s="464"/>
      <c r="B46" s="288" t="s">
        <v>51</v>
      </c>
      <c r="C46" s="433" t="s">
        <v>206</v>
      </c>
      <c r="D46" s="286">
        <v>1.3</v>
      </c>
      <c r="E46" s="286">
        <v>3.5</v>
      </c>
      <c r="F46" s="286">
        <v>1</v>
      </c>
      <c r="G46" s="286">
        <v>1.3</v>
      </c>
      <c r="H46" s="286">
        <v>1.2</v>
      </c>
      <c r="I46" s="286">
        <v>0.01</v>
      </c>
      <c r="J46" s="286">
        <v>0.01</v>
      </c>
      <c r="K46" s="286">
        <v>7</v>
      </c>
      <c r="L46" s="286">
        <v>1450</v>
      </c>
      <c r="M46" s="286">
        <v>2E-3</v>
      </c>
      <c r="N46" s="286">
        <v>1.5</v>
      </c>
      <c r="O46" s="286">
        <v>14</v>
      </c>
      <c r="P46" s="286">
        <v>2</v>
      </c>
      <c r="Q46" s="286">
        <f t="shared" ref="Q46:Q47" si="3">ROUND((Y46/X46),0)</f>
        <v>821</v>
      </c>
      <c r="R46" s="287" t="s">
        <v>52</v>
      </c>
      <c r="S46" s="287">
        <v>2908</v>
      </c>
      <c r="T46" s="286">
        <f t="shared" ref="T46:T47" si="4">ROUND((D46*E46*F46*K46*N46*L46*I46*J46/3600)+(G46*H46*I46*M46*O46*P46),4)</f>
        <v>2.8E-3</v>
      </c>
      <c r="U46" s="286">
        <f t="shared" ref="U46:U47" si="5">ROUND((((3.6*T46*Q46)/1000)),4)</f>
        <v>8.3000000000000001E-3</v>
      </c>
      <c r="V46" s="88"/>
      <c r="W46" s="88"/>
      <c r="X46">
        <v>50</v>
      </c>
      <c r="Y46" s="2">
        <f>102643.2*0.4</f>
        <v>41057.279999999999</v>
      </c>
    </row>
    <row r="47" spans="1:29" ht="38.25" x14ac:dyDescent="0.25">
      <c r="A47" s="464"/>
      <c r="B47" s="288" t="s">
        <v>53</v>
      </c>
      <c r="C47" s="432"/>
      <c r="D47" s="286">
        <v>1.9</v>
      </c>
      <c r="E47" s="286">
        <v>3.5</v>
      </c>
      <c r="F47" s="286">
        <v>1</v>
      </c>
      <c r="G47" s="286">
        <v>1.3</v>
      </c>
      <c r="H47" s="286">
        <v>1.2</v>
      </c>
      <c r="I47" s="286">
        <v>0.01</v>
      </c>
      <c r="J47" s="286">
        <v>0.01</v>
      </c>
      <c r="K47" s="286">
        <v>4</v>
      </c>
      <c r="L47" s="286">
        <v>1450</v>
      </c>
      <c r="M47" s="286">
        <v>2E-3</v>
      </c>
      <c r="N47" s="286">
        <v>1.5</v>
      </c>
      <c r="O47" s="286">
        <v>14</v>
      </c>
      <c r="P47" s="286">
        <v>2</v>
      </c>
      <c r="Q47" s="286">
        <f t="shared" si="3"/>
        <v>1026</v>
      </c>
      <c r="R47" s="287" t="s">
        <v>52</v>
      </c>
      <c r="S47" s="287">
        <v>2908</v>
      </c>
      <c r="T47" s="286">
        <f t="shared" si="4"/>
        <v>2.5000000000000001E-3</v>
      </c>
      <c r="U47" s="286">
        <f t="shared" si="5"/>
        <v>9.1999999999999998E-3</v>
      </c>
      <c r="V47" s="88"/>
      <c r="W47" s="88"/>
      <c r="X47">
        <v>60</v>
      </c>
      <c r="Y47" s="2">
        <f>102643.2*0.6</f>
        <v>61585.919999999998</v>
      </c>
      <c r="AC47" s="62"/>
    </row>
    <row r="48" spans="1:29" ht="21" customHeight="1" x14ac:dyDescent="0.25">
      <c r="A48" s="463" t="s">
        <v>341</v>
      </c>
      <c r="B48" s="429"/>
      <c r="C48" s="429"/>
      <c r="D48" s="429"/>
      <c r="E48" s="429"/>
      <c r="F48" s="429"/>
      <c r="G48" s="429"/>
      <c r="H48" s="429"/>
      <c r="I48" s="429"/>
      <c r="J48" s="429"/>
      <c r="K48" s="429"/>
      <c r="L48" s="429"/>
      <c r="M48" s="429"/>
      <c r="N48" s="429"/>
      <c r="O48" s="429"/>
      <c r="P48" s="429"/>
      <c r="Q48" s="430"/>
      <c r="R48" s="294" t="s">
        <v>52</v>
      </c>
      <c r="S48" s="294">
        <v>2908</v>
      </c>
      <c r="T48" s="296">
        <f>MAX(T44,T46)+MAX(T45,T47)</f>
        <v>5.3E-3</v>
      </c>
      <c r="U48" s="296">
        <f>U44+U45+U46+U47</f>
        <v>1.9599999999999999E-2</v>
      </c>
      <c r="V48" s="72">
        <f>T48</f>
        <v>5.3E-3</v>
      </c>
      <c r="W48" s="72">
        <f>U48</f>
        <v>1.9599999999999999E-2</v>
      </c>
      <c r="X48" s="2"/>
      <c r="Y48" s="2"/>
      <c r="Z48" s="2"/>
      <c r="AA48" s="2"/>
    </row>
    <row r="49" spans="1:27" ht="11.25" customHeight="1" x14ac:dyDescent="0.25">
      <c r="A49" s="411" t="s">
        <v>22</v>
      </c>
      <c r="B49" s="412"/>
      <c r="C49" s="412"/>
      <c r="D49" s="412"/>
      <c r="E49" s="412"/>
      <c r="F49" s="412"/>
      <c r="G49" s="412"/>
      <c r="H49" s="412"/>
      <c r="I49" s="412"/>
      <c r="J49" s="412"/>
      <c r="K49" s="412"/>
      <c r="L49" s="412"/>
      <c r="M49" s="412"/>
      <c r="N49" s="412"/>
      <c r="O49" s="412"/>
      <c r="P49" s="412"/>
      <c r="Q49" s="412"/>
      <c r="R49" s="412"/>
      <c r="S49" s="412"/>
      <c r="T49" s="412"/>
      <c r="U49" s="413"/>
      <c r="V49" s="66"/>
      <c r="W49" s="66"/>
    </row>
    <row r="50" spans="1:27" x14ac:dyDescent="0.25">
      <c r="A50" s="411" t="s">
        <v>20</v>
      </c>
      <c r="B50" s="458"/>
      <c r="C50" s="458"/>
      <c r="D50" s="458"/>
      <c r="E50" s="458"/>
      <c r="F50" s="458"/>
      <c r="G50" s="458"/>
      <c r="H50" s="458"/>
      <c r="I50" s="458"/>
      <c r="J50" s="458"/>
      <c r="K50" s="458"/>
      <c r="L50" s="458"/>
      <c r="M50" s="458"/>
      <c r="N50" s="458"/>
      <c r="O50" s="458"/>
      <c r="P50" s="458"/>
      <c r="Q50" s="458"/>
      <c r="R50" s="458"/>
      <c r="S50" s="458"/>
      <c r="T50" s="458"/>
      <c r="U50" s="459"/>
      <c r="V50" s="87"/>
      <c r="W50" s="87"/>
    </row>
    <row r="51" spans="1:27" ht="25.5" x14ac:dyDescent="0.25">
      <c r="A51" s="436">
        <v>9002</v>
      </c>
      <c r="B51" s="288" t="s">
        <v>51</v>
      </c>
      <c r="C51" s="285" t="s">
        <v>202</v>
      </c>
      <c r="D51" s="286">
        <v>1.3</v>
      </c>
      <c r="E51" s="286">
        <v>3.5</v>
      </c>
      <c r="F51" s="286">
        <v>1</v>
      </c>
      <c r="G51" s="286">
        <v>1.3</v>
      </c>
      <c r="H51" s="286">
        <v>1.2</v>
      </c>
      <c r="I51" s="286">
        <v>0.01</v>
      </c>
      <c r="J51" s="286">
        <v>0.01</v>
      </c>
      <c r="K51" s="286">
        <v>3</v>
      </c>
      <c r="L51" s="286">
        <v>1450</v>
      </c>
      <c r="M51" s="286">
        <v>2E-3</v>
      </c>
      <c r="N51" s="286">
        <v>1.5</v>
      </c>
      <c r="O51" s="286">
        <v>14</v>
      </c>
      <c r="P51" s="286">
        <v>1</v>
      </c>
      <c r="Q51" s="286">
        <f>ROUND((Y51/X51),0)</f>
        <v>156</v>
      </c>
      <c r="R51" s="287" t="s">
        <v>52</v>
      </c>
      <c r="S51" s="287">
        <v>2908</v>
      </c>
      <c r="T51" s="286">
        <f>ROUND((D51*E51*F51*K51*N51*L51*I51*J51/3600)+(G51*H51*I51*M51*O51*P51),4)</f>
        <v>1.2999999999999999E-3</v>
      </c>
      <c r="U51" s="286">
        <f>ROUND((((3.6*T51*Q51)/1000)),4)</f>
        <v>6.9999999999999999E-4</v>
      </c>
      <c r="V51" s="88"/>
      <c r="W51" s="88"/>
      <c r="X51">
        <v>20</v>
      </c>
      <c r="Y51">
        <f>3120*1</f>
        <v>3120</v>
      </c>
      <c r="Z51" s="63"/>
    </row>
    <row r="52" spans="1:27" ht="25.5" x14ac:dyDescent="0.25">
      <c r="A52" s="465"/>
      <c r="B52" s="288" t="s">
        <v>51</v>
      </c>
      <c r="C52" s="285" t="s">
        <v>206</v>
      </c>
      <c r="D52" s="286">
        <v>1.3</v>
      </c>
      <c r="E52" s="286">
        <v>3.5</v>
      </c>
      <c r="F52" s="286">
        <v>1</v>
      </c>
      <c r="G52" s="286">
        <v>1.3</v>
      </c>
      <c r="H52" s="286">
        <v>1.2</v>
      </c>
      <c r="I52" s="286">
        <v>0.01</v>
      </c>
      <c r="J52" s="286">
        <v>0.01</v>
      </c>
      <c r="K52" s="286">
        <v>4</v>
      </c>
      <c r="L52" s="286">
        <v>1450</v>
      </c>
      <c r="M52" s="286">
        <v>2E-3</v>
      </c>
      <c r="N52" s="286">
        <v>1.5</v>
      </c>
      <c r="O52" s="286">
        <v>14</v>
      </c>
      <c r="P52" s="286">
        <v>1</v>
      </c>
      <c r="Q52" s="286">
        <f>ROUND((Y52/X52),0)</f>
        <v>570</v>
      </c>
      <c r="R52" s="287" t="s">
        <v>52</v>
      </c>
      <c r="S52" s="287">
        <v>2908</v>
      </c>
      <c r="T52" s="286">
        <f>ROUND((D52*E52*F52*K52*N52*L52*I52*J52/3600)+(G52*H52*I52*M52*O52*P52),4)</f>
        <v>1.5E-3</v>
      </c>
      <c r="U52" s="286">
        <f>ROUND((((3.6*T52*Q52)/1000)),4)</f>
        <v>3.0999999999999999E-3</v>
      </c>
      <c r="V52" s="83"/>
      <c r="W52" s="83"/>
      <c r="X52" s="2">
        <v>60</v>
      </c>
      <c r="Y52" s="2">
        <f>34214.4</f>
        <v>34214.400000000001</v>
      </c>
      <c r="Z52" s="2"/>
      <c r="AA52" s="2"/>
    </row>
    <row r="53" spans="1:27" ht="22.5" customHeight="1" x14ac:dyDescent="0.25">
      <c r="A53" s="463" t="s">
        <v>341</v>
      </c>
      <c r="B53" s="429"/>
      <c r="C53" s="429"/>
      <c r="D53" s="429"/>
      <c r="E53" s="429"/>
      <c r="F53" s="429"/>
      <c r="G53" s="429"/>
      <c r="H53" s="429"/>
      <c r="I53" s="429"/>
      <c r="J53" s="429"/>
      <c r="K53" s="429"/>
      <c r="L53" s="429"/>
      <c r="M53" s="429"/>
      <c r="N53" s="429"/>
      <c r="O53" s="429"/>
      <c r="P53" s="429"/>
      <c r="Q53" s="430"/>
      <c r="R53" s="294" t="s">
        <v>52</v>
      </c>
      <c r="S53" s="294">
        <v>2908</v>
      </c>
      <c r="T53" s="296">
        <f>MAX(T51,T52)</f>
        <v>1.5E-3</v>
      </c>
      <c r="U53" s="296">
        <f>U51+U52</f>
        <v>3.8E-3</v>
      </c>
      <c r="V53" s="72">
        <f>T53</f>
        <v>1.5E-3</v>
      </c>
      <c r="W53" s="72">
        <f>U53</f>
        <v>3.8E-3</v>
      </c>
      <c r="X53" s="2"/>
      <c r="Y53" s="2"/>
      <c r="Z53" s="2"/>
      <c r="AA53" s="2"/>
    </row>
  </sheetData>
  <mergeCells count="44">
    <mergeCell ref="A28:U28"/>
    <mergeCell ref="A23:U23"/>
    <mergeCell ref="A24:O24"/>
    <mergeCell ref="A25:O25"/>
    <mergeCell ref="A26:O26"/>
    <mergeCell ref="A27:O27"/>
    <mergeCell ref="A18:U18"/>
    <mergeCell ref="A19:O19"/>
    <mergeCell ref="A20:O20"/>
    <mergeCell ref="A21:O21"/>
    <mergeCell ref="A22:O22"/>
    <mergeCell ref="A13:O13"/>
    <mergeCell ref="A14:U14"/>
    <mergeCell ref="A15:O15"/>
    <mergeCell ref="A16:O16"/>
    <mergeCell ref="A17:U17"/>
    <mergeCell ref="A8:O8"/>
    <mergeCell ref="A9:U9"/>
    <mergeCell ref="A10:O10"/>
    <mergeCell ref="A11:O11"/>
    <mergeCell ref="A12:O12"/>
    <mergeCell ref="A3:O3"/>
    <mergeCell ref="A4:O4"/>
    <mergeCell ref="A6:U6"/>
    <mergeCell ref="A7:U7"/>
    <mergeCell ref="A1:U1"/>
    <mergeCell ref="A53:Q53"/>
    <mergeCell ref="A37:A40"/>
    <mergeCell ref="A44:A47"/>
    <mergeCell ref="A51:A52"/>
    <mergeCell ref="A48:Q48"/>
    <mergeCell ref="A49:U49"/>
    <mergeCell ref="A50:U50"/>
    <mergeCell ref="A41:Q41"/>
    <mergeCell ref="A42:U42"/>
    <mergeCell ref="A43:U43"/>
    <mergeCell ref="C44:C45"/>
    <mergeCell ref="C39:C40"/>
    <mergeCell ref="C46:C47"/>
    <mergeCell ref="A31:U31"/>
    <mergeCell ref="A35:U35"/>
    <mergeCell ref="A36:U36"/>
    <mergeCell ref="C37:C38"/>
    <mergeCell ref="A34:U34"/>
  </mergeCells>
  <pageMargins left="0.31496062992125984" right="0.31496062992125984" top="0.78740157480314965" bottom="0.39370078740157483" header="0.31496062992125984" footer="0.19685039370078741"/>
  <pageSetup paperSize="9" firstPageNumber="247" orientation="landscape" useFirstPageNumber="1" horizontalDpi="1200" verticalDpi="1200" r:id="rId1"/>
  <headerFoot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W57"/>
  <sheetViews>
    <sheetView view="pageBreakPreview" topLeftCell="A31" zoomScaleNormal="100" zoomScaleSheetLayoutView="100" workbookViewId="0">
      <selection activeCell="C33" sqref="C33:C39"/>
    </sheetView>
  </sheetViews>
  <sheetFormatPr defaultRowHeight="15" x14ac:dyDescent="0.25"/>
  <cols>
    <col min="2" max="2" width="13.28515625" customWidth="1"/>
    <col min="3" max="3" width="15.7109375" customWidth="1"/>
    <col min="4" max="4" width="8.42578125" customWidth="1"/>
    <col min="5" max="5" width="10.7109375" customWidth="1"/>
    <col min="6" max="6" width="8.5703125" customWidth="1"/>
    <col min="7" max="7" width="26.28515625" customWidth="1"/>
    <col min="8" max="8" width="7.140625" customWidth="1"/>
    <col min="9" max="9" width="8" customWidth="1"/>
    <col min="10" max="10" width="12.85546875" customWidth="1"/>
    <col min="11" max="13" width="14.7109375" customWidth="1"/>
  </cols>
  <sheetData>
    <row r="1" spans="1:18" ht="39.75" customHeight="1" x14ac:dyDescent="0.3">
      <c r="A1" s="480" t="s">
        <v>288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116"/>
      <c r="M1" s="116"/>
    </row>
    <row r="3" spans="1:18" s="108" customFormat="1" ht="14.25" customHeight="1" x14ac:dyDescent="0.25">
      <c r="A3" s="481" t="s">
        <v>211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1"/>
    </row>
    <row r="4" spans="1:18" s="108" customFormat="1" ht="33.75" customHeight="1" x14ac:dyDescent="0.25">
      <c r="A4" s="482" t="s">
        <v>276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110"/>
      <c r="M4" s="110"/>
      <c r="N4" s="109"/>
      <c r="O4" s="109"/>
      <c r="P4" s="109"/>
      <c r="Q4" s="109"/>
      <c r="R4" s="109"/>
    </row>
    <row r="5" spans="1:18" s="108" customFormat="1" ht="12.75" customHeight="1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09"/>
      <c r="O5" s="109"/>
      <c r="P5" s="109"/>
      <c r="Q5" s="109"/>
      <c r="R5" s="109"/>
    </row>
    <row r="6" spans="1:18" s="108" customFormat="1" ht="57.75" customHeight="1" x14ac:dyDescent="0.25">
      <c r="A6" s="482" t="s">
        <v>277</v>
      </c>
      <c r="B6" s="482"/>
      <c r="C6" s="482"/>
      <c r="D6" s="482"/>
      <c r="E6" s="482"/>
      <c r="F6" s="482"/>
      <c r="G6" s="482"/>
      <c r="H6" s="482"/>
      <c r="I6" s="482"/>
      <c r="J6" s="482"/>
      <c r="K6" s="482"/>
      <c r="L6" s="110"/>
      <c r="M6" s="110"/>
      <c r="N6" s="110"/>
      <c r="O6" s="110"/>
      <c r="P6" s="110"/>
      <c r="Q6" s="110"/>
      <c r="R6" s="110"/>
    </row>
    <row r="7" spans="1:18" s="108" customFormat="1" ht="33.75" customHeight="1" x14ac:dyDescent="0.25">
      <c r="A7" s="482" t="s">
        <v>278</v>
      </c>
      <c r="B7" s="482"/>
      <c r="C7" s="482"/>
      <c r="D7" s="482"/>
      <c r="E7" s="482"/>
      <c r="F7" s="482"/>
      <c r="G7" s="482"/>
      <c r="H7" s="482"/>
      <c r="I7" s="482"/>
      <c r="J7" s="482"/>
      <c r="K7" s="482"/>
      <c r="L7" s="110"/>
      <c r="M7" s="110"/>
      <c r="N7" s="110"/>
      <c r="O7" s="110"/>
      <c r="P7" s="110"/>
      <c r="Q7" s="110"/>
      <c r="R7" s="110"/>
    </row>
    <row r="8" spans="1:18" s="108" customFormat="1" ht="30.75" customHeight="1" x14ac:dyDescent="0.25">
      <c r="A8" s="482" t="s">
        <v>279</v>
      </c>
      <c r="B8" s="482"/>
      <c r="C8" s="482"/>
      <c r="D8" s="482"/>
      <c r="E8" s="482"/>
      <c r="F8" s="482"/>
      <c r="G8" s="482"/>
      <c r="H8" s="482"/>
      <c r="I8" s="482"/>
      <c r="J8" s="482"/>
      <c r="K8" s="482"/>
      <c r="L8" s="110"/>
      <c r="M8" s="110"/>
      <c r="N8" s="111"/>
      <c r="O8" s="111"/>
      <c r="P8" s="111"/>
    </row>
    <row r="9" spans="1:18" s="111" customFormat="1" ht="14.25" customHeight="1" x14ac:dyDescent="0.3">
      <c r="A9" s="483" t="s">
        <v>280</v>
      </c>
      <c r="B9" s="483"/>
      <c r="C9" s="483"/>
      <c r="D9" s="483"/>
      <c r="E9" s="483"/>
      <c r="F9" s="483"/>
      <c r="G9" s="483"/>
      <c r="H9" s="483"/>
      <c r="I9" s="483"/>
      <c r="J9" s="483"/>
      <c r="K9" s="483"/>
      <c r="L9" s="113"/>
      <c r="M9" s="113"/>
      <c r="N9" s="112"/>
      <c r="O9" s="112"/>
      <c r="P9" s="112"/>
    </row>
    <row r="10" spans="1:18" s="111" customFormat="1" ht="14.25" customHeight="1" x14ac:dyDescent="0.25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2"/>
      <c r="O10" s="112"/>
      <c r="P10" s="112"/>
    </row>
    <row r="11" spans="1:18" s="111" customFormat="1" ht="14.25" customHeight="1" x14ac:dyDescent="0.3">
      <c r="A11" s="483" t="s">
        <v>281</v>
      </c>
      <c r="B11" s="483"/>
      <c r="C11" s="483"/>
      <c r="D11" s="483"/>
      <c r="E11" s="483"/>
      <c r="F11" s="483"/>
      <c r="G11" s="483"/>
      <c r="H11" s="483"/>
      <c r="I11" s="483"/>
      <c r="J11" s="483"/>
      <c r="K11" s="483"/>
      <c r="L11" s="113"/>
      <c r="M11" s="113"/>
      <c r="N11" s="112"/>
      <c r="O11" s="112"/>
      <c r="P11" s="112"/>
    </row>
    <row r="12" spans="1:18" s="111" customFormat="1" ht="14.25" customHeight="1" x14ac:dyDescent="0.25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2"/>
      <c r="O12" s="112"/>
      <c r="P12" s="112"/>
    </row>
    <row r="13" spans="1:18" s="111" customFormat="1" ht="12" customHeight="1" x14ac:dyDescent="0.25">
      <c r="A13" s="111" t="s">
        <v>282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</row>
    <row r="14" spans="1:18" s="114" customFormat="1" ht="14.25" customHeight="1" x14ac:dyDescent="0.35">
      <c r="A14" s="484" t="s">
        <v>283</v>
      </c>
      <c r="B14" s="484"/>
      <c r="C14" s="484"/>
      <c r="D14" s="484"/>
      <c r="E14" s="484"/>
      <c r="F14" s="484"/>
      <c r="G14" s="484"/>
      <c r="H14" s="484"/>
      <c r="I14" s="484"/>
      <c r="J14" s="484"/>
      <c r="K14" s="484"/>
      <c r="L14" s="115"/>
      <c r="M14" s="115"/>
    </row>
    <row r="15" spans="1:18" s="114" customFormat="1" ht="14.25" customHeight="1" x14ac:dyDescent="0.25">
      <c r="A15" s="484" t="s">
        <v>284</v>
      </c>
      <c r="B15" s="484"/>
      <c r="C15" s="484"/>
      <c r="D15" s="484"/>
      <c r="E15" s="484"/>
      <c r="F15" s="484"/>
      <c r="G15" s="484"/>
      <c r="H15" s="484"/>
      <c r="I15" s="484"/>
      <c r="J15" s="484"/>
      <c r="K15" s="484"/>
      <c r="L15" s="115"/>
      <c r="M15" s="115"/>
    </row>
    <row r="16" spans="1:18" s="114" customFormat="1" ht="14.25" customHeight="1" x14ac:dyDescent="0.25">
      <c r="A16" s="484" t="s">
        <v>285</v>
      </c>
      <c r="B16" s="484"/>
      <c r="C16" s="484"/>
      <c r="D16" s="484"/>
      <c r="E16" s="484"/>
      <c r="F16" s="484"/>
      <c r="G16" s="484"/>
      <c r="H16" s="484"/>
      <c r="I16" s="484"/>
      <c r="J16" s="484"/>
      <c r="K16" s="484"/>
      <c r="L16" s="115"/>
      <c r="M16" s="115"/>
    </row>
    <row r="17" spans="1:23" s="114" customFormat="1" ht="14.25" customHeight="1" x14ac:dyDescent="0.25">
      <c r="A17" s="484" t="s">
        <v>286</v>
      </c>
      <c r="B17" s="484"/>
      <c r="C17" s="484"/>
      <c r="D17" s="484"/>
      <c r="E17" s="484"/>
      <c r="F17" s="484"/>
      <c r="G17" s="484"/>
      <c r="H17" s="484"/>
      <c r="I17" s="484"/>
      <c r="J17" s="484"/>
      <c r="K17" s="484"/>
      <c r="L17" s="115"/>
      <c r="M17" s="115"/>
    </row>
    <row r="18" spans="1:23" s="114" customFormat="1" ht="14.25" customHeight="1" x14ac:dyDescent="0.25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</row>
    <row r="19" spans="1:23" s="78" customFormat="1" ht="18.75" customHeight="1" x14ac:dyDescent="0.25">
      <c r="A19" s="425" t="s">
        <v>289</v>
      </c>
      <c r="B19" s="425"/>
      <c r="C19" s="425"/>
      <c r="D19" s="425"/>
      <c r="E19" s="425"/>
      <c r="F19" s="425"/>
      <c r="G19" s="425"/>
      <c r="H19" s="425"/>
      <c r="I19" s="425"/>
      <c r="J19" s="425"/>
      <c r="K19" s="425"/>
      <c r="L19" s="77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</row>
    <row r="20" spans="1:23" s="78" customFormat="1" ht="18.75" customHeight="1" x14ac:dyDescent="0.25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</row>
    <row r="21" spans="1:23" s="78" customFormat="1" ht="18.75" customHeight="1" x14ac:dyDescent="0.25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</row>
    <row r="22" spans="1:23" s="78" customFormat="1" ht="18.75" customHeight="1" x14ac:dyDescent="0.25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</row>
    <row r="23" spans="1:23" s="78" customFormat="1" ht="18.75" customHeight="1" x14ac:dyDescent="0.25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</row>
    <row r="24" spans="1:23" s="78" customFormat="1" ht="18.75" customHeight="1" x14ac:dyDescent="0.25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</row>
    <row r="25" spans="1:23" s="78" customFormat="1" ht="18.75" customHeight="1" x14ac:dyDescent="0.25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</row>
    <row r="26" spans="1:23" ht="15.75" x14ac:dyDescent="0.25">
      <c r="A26" s="12" t="s">
        <v>287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23" ht="32.25" customHeight="1" x14ac:dyDescent="0.25">
      <c r="A27" s="485" t="s">
        <v>80</v>
      </c>
      <c r="B27" s="485" t="s">
        <v>81</v>
      </c>
      <c r="C27" s="485" t="s">
        <v>82</v>
      </c>
      <c r="D27" s="485" t="s">
        <v>83</v>
      </c>
      <c r="E27" s="485"/>
      <c r="F27" s="485" t="s">
        <v>84</v>
      </c>
      <c r="G27" s="485" t="s">
        <v>65</v>
      </c>
      <c r="H27" s="485" t="s">
        <v>66</v>
      </c>
      <c r="I27" s="485" t="s">
        <v>85</v>
      </c>
      <c r="J27" s="486" t="s">
        <v>86</v>
      </c>
      <c r="K27" s="486"/>
      <c r="L27" s="83"/>
      <c r="M27" s="83"/>
    </row>
    <row r="28" spans="1:23" ht="12" customHeight="1" x14ac:dyDescent="0.25">
      <c r="A28" s="485"/>
      <c r="B28" s="485"/>
      <c r="C28" s="485"/>
      <c r="D28" s="3" t="s">
        <v>87</v>
      </c>
      <c r="E28" s="3" t="s">
        <v>88</v>
      </c>
      <c r="F28" s="485"/>
      <c r="G28" s="485"/>
      <c r="H28" s="485"/>
      <c r="I28" s="485"/>
      <c r="J28" s="3" t="s">
        <v>70</v>
      </c>
      <c r="K28" s="3" t="s">
        <v>69</v>
      </c>
      <c r="L28" s="65"/>
      <c r="M28" s="65"/>
    </row>
    <row r="29" spans="1:23" x14ac:dyDescent="0.25">
      <c r="A29" s="13">
        <v>1</v>
      </c>
      <c r="B29" s="13">
        <v>2</v>
      </c>
      <c r="C29" s="14">
        <v>3</v>
      </c>
      <c r="D29" s="13">
        <v>4</v>
      </c>
      <c r="E29" s="13">
        <v>5</v>
      </c>
      <c r="F29" s="13">
        <v>6</v>
      </c>
      <c r="G29" s="13">
        <v>7</v>
      </c>
      <c r="H29" s="13">
        <v>8</v>
      </c>
      <c r="I29" s="13">
        <v>9</v>
      </c>
      <c r="J29" s="13">
        <v>10</v>
      </c>
      <c r="K29" s="13">
        <v>11</v>
      </c>
      <c r="L29" s="117"/>
      <c r="M29" s="117"/>
    </row>
    <row r="30" spans="1:23" ht="15" customHeight="1" x14ac:dyDescent="0.25">
      <c r="A30" s="470" t="s">
        <v>105</v>
      </c>
      <c r="B30" s="470"/>
      <c r="C30" s="470"/>
      <c r="D30" s="470"/>
      <c r="E30" s="470"/>
      <c r="F30" s="470"/>
      <c r="G30" s="470"/>
      <c r="H30" s="470"/>
      <c r="I30" s="470"/>
      <c r="J30" s="470"/>
      <c r="K30" s="470"/>
      <c r="L30" s="118"/>
      <c r="M30" s="118"/>
    </row>
    <row r="31" spans="1:23" ht="15" customHeight="1" x14ac:dyDescent="0.25">
      <c r="A31" s="466" t="s">
        <v>17</v>
      </c>
      <c r="B31" s="467"/>
      <c r="C31" s="467"/>
      <c r="D31" s="467"/>
      <c r="E31" s="467"/>
      <c r="F31" s="467"/>
      <c r="G31" s="467"/>
      <c r="H31" s="467"/>
      <c r="I31" s="467"/>
      <c r="J31" s="467"/>
      <c r="K31" s="468"/>
      <c r="L31" s="119"/>
      <c r="M31" s="119"/>
      <c r="N31" s="2"/>
      <c r="O31" s="2"/>
    </row>
    <row r="32" spans="1:23" ht="15" customHeight="1" x14ac:dyDescent="0.25">
      <c r="A32" s="469" t="s">
        <v>20</v>
      </c>
      <c r="B32" s="469"/>
      <c r="C32" s="469"/>
      <c r="D32" s="469"/>
      <c r="E32" s="469"/>
      <c r="F32" s="469"/>
      <c r="G32" s="469"/>
      <c r="H32" s="469"/>
      <c r="I32" s="469"/>
      <c r="J32" s="469"/>
      <c r="K32" s="469"/>
      <c r="L32" s="119"/>
      <c r="M32" s="119"/>
      <c r="N32" s="2"/>
      <c r="O32" s="2"/>
    </row>
    <row r="33" spans="1:15" ht="15" customHeight="1" x14ac:dyDescent="0.25">
      <c r="A33" s="471">
        <v>9003</v>
      </c>
      <c r="B33" s="474" t="s">
        <v>89</v>
      </c>
      <c r="C33" s="477" t="s">
        <v>90</v>
      </c>
      <c r="D33" s="477">
        <v>0.13</v>
      </c>
      <c r="E33" s="477">
        <v>7.5</v>
      </c>
      <c r="F33" s="286">
        <v>0.75</v>
      </c>
      <c r="G33" s="298" t="s">
        <v>91</v>
      </c>
      <c r="H33" s="299" t="s">
        <v>92</v>
      </c>
      <c r="I33" s="299" t="s">
        <v>93</v>
      </c>
      <c r="J33" s="300">
        <f>ROUND(F33*D33/3600,5)</f>
        <v>3.0000000000000001E-5</v>
      </c>
      <c r="K33" s="300">
        <f>ROUND(F33*E33/1000000,5)</f>
        <v>1.0000000000000001E-5</v>
      </c>
      <c r="L33" s="117"/>
      <c r="M33" s="117"/>
      <c r="N33" s="2"/>
      <c r="O33" s="2"/>
    </row>
    <row r="34" spans="1:15" ht="15" customHeight="1" x14ac:dyDescent="0.25">
      <c r="A34" s="472"/>
      <c r="B34" s="475"/>
      <c r="C34" s="478"/>
      <c r="D34" s="478"/>
      <c r="E34" s="478"/>
      <c r="F34" s="286">
        <v>1.5</v>
      </c>
      <c r="G34" s="302" t="s">
        <v>94</v>
      </c>
      <c r="H34" s="301" t="s">
        <v>95</v>
      </c>
      <c r="I34" s="299" t="s">
        <v>93</v>
      </c>
      <c r="J34" s="300">
        <f>ROUND((F34*D33/3600)*(1-I34),4)</f>
        <v>1E-4</v>
      </c>
      <c r="K34" s="300">
        <f>ROUND((F34*E33/1000000)*(1-I34),5)</f>
        <v>1.0000000000000001E-5</v>
      </c>
      <c r="L34" s="117"/>
      <c r="M34" s="117"/>
      <c r="N34" s="2"/>
      <c r="O34" s="2"/>
    </row>
    <row r="35" spans="1:15" ht="15" customHeight="1" x14ac:dyDescent="0.25">
      <c r="A35" s="472"/>
      <c r="B35" s="475"/>
      <c r="C35" s="478"/>
      <c r="D35" s="478"/>
      <c r="E35" s="478"/>
      <c r="F35" s="286">
        <v>0.92</v>
      </c>
      <c r="G35" s="298" t="s">
        <v>96</v>
      </c>
      <c r="H35" s="299" t="s">
        <v>97</v>
      </c>
      <c r="I35" s="299" t="s">
        <v>93</v>
      </c>
      <c r="J35" s="300">
        <f>ROUND((F35*D33/3600)*(1-I35),5)</f>
        <v>3.0000000000000001E-5</v>
      </c>
      <c r="K35" s="300">
        <f>ROUND((F35*E33/1000000)*(1-I35),5)</f>
        <v>1.0000000000000001E-5</v>
      </c>
      <c r="L35" s="117"/>
      <c r="M35" s="117"/>
      <c r="N35" s="2"/>
      <c r="O35" s="2"/>
    </row>
    <row r="36" spans="1:15" ht="15" customHeight="1" x14ac:dyDescent="0.25">
      <c r="A36" s="472"/>
      <c r="B36" s="475"/>
      <c r="C36" s="478"/>
      <c r="D36" s="478"/>
      <c r="E36" s="478"/>
      <c r="F36" s="286">
        <v>3.3</v>
      </c>
      <c r="G36" s="298" t="s">
        <v>98</v>
      </c>
      <c r="H36" s="299" t="s">
        <v>99</v>
      </c>
      <c r="I36" s="299" t="s">
        <v>93</v>
      </c>
      <c r="J36" s="300">
        <f>ROUND((F36*D33/3600)*(1-I36),4)</f>
        <v>1E-4</v>
      </c>
      <c r="K36" s="300">
        <f>ROUND((F36*E33/1000000)*(1-I36),5)</f>
        <v>2.0000000000000002E-5</v>
      </c>
      <c r="L36" s="117"/>
      <c r="M36" s="117"/>
      <c r="N36" s="2"/>
      <c r="O36" s="2"/>
    </row>
    <row r="37" spans="1:15" ht="15" customHeight="1" x14ac:dyDescent="0.25">
      <c r="A37" s="472"/>
      <c r="B37" s="475"/>
      <c r="C37" s="478"/>
      <c r="D37" s="478"/>
      <c r="E37" s="478"/>
      <c r="F37" s="286">
        <v>10.69</v>
      </c>
      <c r="G37" s="298" t="s">
        <v>100</v>
      </c>
      <c r="H37" s="299" t="s">
        <v>101</v>
      </c>
      <c r="I37" s="299" t="s">
        <v>93</v>
      </c>
      <c r="J37" s="300">
        <f>ROUND((F37*D33/3600)*(1-I37),4)</f>
        <v>4.0000000000000002E-4</v>
      </c>
      <c r="K37" s="300">
        <f>ROUND((F37*E33/1000000)*(1-I37),4)</f>
        <v>1E-4</v>
      </c>
      <c r="L37" s="117"/>
      <c r="M37" s="117"/>
      <c r="N37" s="2"/>
      <c r="O37" s="2"/>
    </row>
    <row r="38" spans="1:15" ht="18.75" customHeight="1" x14ac:dyDescent="0.25">
      <c r="A38" s="472"/>
      <c r="B38" s="475"/>
      <c r="C38" s="478"/>
      <c r="D38" s="478"/>
      <c r="E38" s="478"/>
      <c r="F38" s="286">
        <v>1.4</v>
      </c>
      <c r="G38" s="303" t="s">
        <v>102</v>
      </c>
      <c r="H38" s="304">
        <v>2908</v>
      </c>
      <c r="I38" s="299" t="s">
        <v>93</v>
      </c>
      <c r="J38" s="300">
        <f>ROUND((F38*D33/3600)*(1-I38),4)</f>
        <v>1E-4</v>
      </c>
      <c r="K38" s="300">
        <f>ROUND((F38*E33/1000000)*(1-I38),5)</f>
        <v>1.0000000000000001E-5</v>
      </c>
      <c r="L38" s="117"/>
      <c r="M38" s="117"/>
      <c r="N38" s="2"/>
      <c r="O38" s="2"/>
    </row>
    <row r="39" spans="1:15" ht="15" customHeight="1" x14ac:dyDescent="0.25">
      <c r="A39" s="473"/>
      <c r="B39" s="476"/>
      <c r="C39" s="479"/>
      <c r="D39" s="479"/>
      <c r="E39" s="479"/>
      <c r="F39" s="286">
        <v>13.3</v>
      </c>
      <c r="G39" s="298" t="s">
        <v>103</v>
      </c>
      <c r="H39" s="299" t="s">
        <v>104</v>
      </c>
      <c r="I39" s="299" t="s">
        <v>93</v>
      </c>
      <c r="J39" s="300">
        <f>ROUND((F39*D33/3600)*(1-I39),4)</f>
        <v>5.0000000000000001E-4</v>
      </c>
      <c r="K39" s="300">
        <f>ROUND((F39*E33/1000000)*(1-I39),4)</f>
        <v>1E-4</v>
      </c>
      <c r="L39" s="72">
        <f>SUM(J33:J39)</f>
        <v>1.2600000000000001E-3</v>
      </c>
      <c r="M39" s="72">
        <f>SUM(K33:K39)</f>
        <v>2.6000000000000003E-4</v>
      </c>
      <c r="N39" s="2"/>
      <c r="O39" s="2"/>
    </row>
    <row r="40" spans="1:15" ht="15" customHeight="1" x14ac:dyDescent="0.25">
      <c r="A40" s="469" t="s">
        <v>21</v>
      </c>
      <c r="B40" s="469"/>
      <c r="C40" s="469"/>
      <c r="D40" s="469"/>
      <c r="E40" s="469"/>
      <c r="F40" s="469"/>
      <c r="G40" s="469"/>
      <c r="H40" s="469"/>
      <c r="I40" s="469"/>
      <c r="J40" s="469"/>
      <c r="K40" s="469"/>
      <c r="L40" s="119"/>
      <c r="M40" s="119"/>
      <c r="N40" s="1"/>
      <c r="O40" s="1"/>
    </row>
    <row r="41" spans="1:15" ht="15" customHeight="1" x14ac:dyDescent="0.25">
      <c r="A41" s="469" t="s">
        <v>20</v>
      </c>
      <c r="B41" s="469"/>
      <c r="C41" s="469"/>
      <c r="D41" s="469"/>
      <c r="E41" s="469"/>
      <c r="F41" s="469"/>
      <c r="G41" s="469"/>
      <c r="H41" s="469"/>
      <c r="I41" s="469"/>
      <c r="J41" s="469"/>
      <c r="K41" s="469"/>
      <c r="L41" s="119"/>
      <c r="M41" s="119"/>
      <c r="N41" s="1"/>
      <c r="O41" s="1"/>
    </row>
    <row r="42" spans="1:15" ht="15" customHeight="1" x14ac:dyDescent="0.25">
      <c r="A42" s="471">
        <v>9003</v>
      </c>
      <c r="B42" s="474" t="s">
        <v>89</v>
      </c>
      <c r="C42" s="477" t="s">
        <v>90</v>
      </c>
      <c r="D42" s="477">
        <v>0.16</v>
      </c>
      <c r="E42" s="477">
        <v>22.6</v>
      </c>
      <c r="F42" s="286">
        <v>0.75</v>
      </c>
      <c r="G42" s="298" t="s">
        <v>91</v>
      </c>
      <c r="H42" s="299" t="s">
        <v>92</v>
      </c>
      <c r="I42" s="299" t="s">
        <v>93</v>
      </c>
      <c r="J42" s="300">
        <f>ROUND(F42*D42/3600,5)</f>
        <v>3.0000000000000001E-5</v>
      </c>
      <c r="K42" s="300">
        <f>ROUND(F42*E42/1000000,5)</f>
        <v>2.0000000000000002E-5</v>
      </c>
      <c r="L42" s="117"/>
      <c r="M42" s="117"/>
      <c r="N42" s="2"/>
      <c r="O42" s="2"/>
    </row>
    <row r="43" spans="1:15" ht="15" customHeight="1" x14ac:dyDescent="0.25">
      <c r="A43" s="472"/>
      <c r="B43" s="475"/>
      <c r="C43" s="478"/>
      <c r="D43" s="478"/>
      <c r="E43" s="478"/>
      <c r="F43" s="286">
        <v>1.5</v>
      </c>
      <c r="G43" s="302" t="s">
        <v>94</v>
      </c>
      <c r="H43" s="301" t="s">
        <v>95</v>
      </c>
      <c r="I43" s="299" t="s">
        <v>93</v>
      </c>
      <c r="J43" s="300">
        <f>ROUND((F43*D42/3600)*(1-I43),4)</f>
        <v>1E-4</v>
      </c>
      <c r="K43" s="300">
        <f>ROUND((F43*E42/1000000)*(1-I43),5)</f>
        <v>3.0000000000000001E-5</v>
      </c>
      <c r="L43" s="117"/>
      <c r="M43" s="117"/>
      <c r="N43" s="2"/>
      <c r="O43" s="2"/>
    </row>
    <row r="44" spans="1:15" ht="15" customHeight="1" x14ac:dyDescent="0.25">
      <c r="A44" s="472"/>
      <c r="B44" s="475"/>
      <c r="C44" s="478"/>
      <c r="D44" s="478"/>
      <c r="E44" s="478"/>
      <c r="F44" s="286">
        <v>0.92</v>
      </c>
      <c r="G44" s="298" t="s">
        <v>96</v>
      </c>
      <c r="H44" s="299" t="s">
        <v>97</v>
      </c>
      <c r="I44" s="299" t="s">
        <v>93</v>
      </c>
      <c r="J44" s="300">
        <f>ROUND((F44*D42/3600)*(1-I44),5)</f>
        <v>4.0000000000000003E-5</v>
      </c>
      <c r="K44" s="300">
        <f>ROUND((F44*E42/1000000)*(1-I44),5)</f>
        <v>2.0000000000000002E-5</v>
      </c>
      <c r="L44" s="117"/>
      <c r="M44" s="117"/>
      <c r="N44" s="2"/>
      <c r="O44" s="2"/>
    </row>
    <row r="45" spans="1:15" ht="15" customHeight="1" x14ac:dyDescent="0.25">
      <c r="A45" s="472"/>
      <c r="B45" s="475"/>
      <c r="C45" s="478"/>
      <c r="D45" s="478"/>
      <c r="E45" s="478"/>
      <c r="F45" s="286">
        <v>3.3</v>
      </c>
      <c r="G45" s="298" t="s">
        <v>98</v>
      </c>
      <c r="H45" s="299" t="s">
        <v>99</v>
      </c>
      <c r="I45" s="299" t="s">
        <v>93</v>
      </c>
      <c r="J45" s="300">
        <f>ROUND((F45*D42/3600)*(1-I45),4)</f>
        <v>1E-4</v>
      </c>
      <c r="K45" s="300">
        <f>ROUND((F45*E42/1000000)*(1-I45),5)</f>
        <v>6.9999999999999994E-5</v>
      </c>
      <c r="L45" s="117"/>
      <c r="M45" s="117"/>
      <c r="N45" s="2"/>
      <c r="O45" s="2"/>
    </row>
    <row r="46" spans="1:15" ht="15" customHeight="1" x14ac:dyDescent="0.25">
      <c r="A46" s="472"/>
      <c r="B46" s="475"/>
      <c r="C46" s="478"/>
      <c r="D46" s="478"/>
      <c r="E46" s="478"/>
      <c r="F46" s="286">
        <v>10.69</v>
      </c>
      <c r="G46" s="298" t="s">
        <v>100</v>
      </c>
      <c r="H46" s="299" t="s">
        <v>101</v>
      </c>
      <c r="I46" s="299" t="s">
        <v>93</v>
      </c>
      <c r="J46" s="300">
        <f>ROUND((F46*D42/3600)*(1-I46),4)</f>
        <v>5.0000000000000001E-4</v>
      </c>
      <c r="K46" s="300">
        <f>ROUND((F46*E42/1000000)*(1-I46),4)</f>
        <v>2.0000000000000001E-4</v>
      </c>
      <c r="L46" s="117"/>
      <c r="M46" s="117"/>
      <c r="N46" s="2"/>
      <c r="O46" s="2"/>
    </row>
    <row r="47" spans="1:15" ht="15" customHeight="1" x14ac:dyDescent="0.25">
      <c r="A47" s="472"/>
      <c r="B47" s="475"/>
      <c r="C47" s="478"/>
      <c r="D47" s="478"/>
      <c r="E47" s="478"/>
      <c r="F47" s="286">
        <v>1.4</v>
      </c>
      <c r="G47" s="303" t="s">
        <v>102</v>
      </c>
      <c r="H47" s="304">
        <v>2908</v>
      </c>
      <c r="I47" s="299" t="s">
        <v>93</v>
      </c>
      <c r="J47" s="300">
        <f>ROUND((F47*D42/3600)*(1-I47),4)</f>
        <v>1E-4</v>
      </c>
      <c r="K47" s="300">
        <f>ROUND((F47*E42/1000000)*(1-I47),5)</f>
        <v>3.0000000000000001E-5</v>
      </c>
      <c r="L47" s="117"/>
      <c r="M47" s="117"/>
      <c r="N47" s="2"/>
      <c r="O47" s="2"/>
    </row>
    <row r="48" spans="1:15" ht="15" customHeight="1" x14ac:dyDescent="0.25">
      <c r="A48" s="473"/>
      <c r="B48" s="476"/>
      <c r="C48" s="479"/>
      <c r="D48" s="479"/>
      <c r="E48" s="479"/>
      <c r="F48" s="286">
        <v>13.3</v>
      </c>
      <c r="G48" s="298" t="s">
        <v>103</v>
      </c>
      <c r="H48" s="299" t="s">
        <v>104</v>
      </c>
      <c r="I48" s="299" t="s">
        <v>93</v>
      </c>
      <c r="J48" s="300">
        <f>ROUND((F48*D42/3600)*(1-I48),4)</f>
        <v>5.9999999999999995E-4</v>
      </c>
      <c r="K48" s="300">
        <f>ROUND((F48*E42/1000000)*(1-I48),4)</f>
        <v>2.9999999999999997E-4</v>
      </c>
      <c r="L48" s="72">
        <f>SUM(J42:J48)</f>
        <v>1.47E-3</v>
      </c>
      <c r="M48" s="72">
        <f>SUM(K42:K48)</f>
        <v>6.7000000000000002E-4</v>
      </c>
      <c r="N48" s="2"/>
      <c r="O48" s="2"/>
    </row>
    <row r="49" spans="1:15" ht="15" customHeight="1" x14ac:dyDescent="0.25">
      <c r="A49" s="469" t="s">
        <v>22</v>
      </c>
      <c r="B49" s="469"/>
      <c r="C49" s="469"/>
      <c r="D49" s="469"/>
      <c r="E49" s="469"/>
      <c r="F49" s="469"/>
      <c r="G49" s="469"/>
      <c r="H49" s="469"/>
      <c r="I49" s="469"/>
      <c r="J49" s="469"/>
      <c r="K49" s="469"/>
      <c r="L49" s="119"/>
      <c r="M49" s="119"/>
      <c r="N49" s="2"/>
      <c r="O49" s="2"/>
    </row>
    <row r="50" spans="1:15" ht="15" customHeight="1" x14ac:dyDescent="0.25">
      <c r="A50" s="469" t="s">
        <v>20</v>
      </c>
      <c r="B50" s="469"/>
      <c r="C50" s="469"/>
      <c r="D50" s="469"/>
      <c r="E50" s="469"/>
      <c r="F50" s="469"/>
      <c r="G50" s="469"/>
      <c r="H50" s="469"/>
      <c r="I50" s="469"/>
      <c r="J50" s="469"/>
      <c r="K50" s="469"/>
      <c r="L50" s="119"/>
      <c r="M50" s="119"/>
      <c r="N50" s="2"/>
      <c r="O50" s="2"/>
    </row>
    <row r="51" spans="1:15" ht="15" customHeight="1" x14ac:dyDescent="0.25">
      <c r="A51" s="471">
        <v>9003</v>
      </c>
      <c r="B51" s="474" t="s">
        <v>89</v>
      </c>
      <c r="C51" s="477" t="s">
        <v>90</v>
      </c>
      <c r="D51" s="477">
        <v>0.13</v>
      </c>
      <c r="E51" s="477">
        <v>7.5</v>
      </c>
      <c r="F51" s="286">
        <v>0.75</v>
      </c>
      <c r="G51" s="298" t="s">
        <v>91</v>
      </c>
      <c r="H51" s="299" t="s">
        <v>92</v>
      </c>
      <c r="I51" s="299" t="s">
        <v>93</v>
      </c>
      <c r="J51" s="300">
        <f>ROUND(F51*D51/3600,5)</f>
        <v>3.0000000000000001E-5</v>
      </c>
      <c r="K51" s="300">
        <f>ROUND(F51*E51/1000000,5)</f>
        <v>1.0000000000000001E-5</v>
      </c>
      <c r="L51" s="117"/>
      <c r="M51" s="117"/>
      <c r="N51" s="2"/>
      <c r="O51" s="2"/>
    </row>
    <row r="52" spans="1:15" ht="15" customHeight="1" x14ac:dyDescent="0.25">
      <c r="A52" s="472"/>
      <c r="B52" s="475"/>
      <c r="C52" s="478"/>
      <c r="D52" s="478"/>
      <c r="E52" s="478"/>
      <c r="F52" s="286">
        <v>1.5</v>
      </c>
      <c r="G52" s="302" t="s">
        <v>94</v>
      </c>
      <c r="H52" s="301" t="s">
        <v>95</v>
      </c>
      <c r="I52" s="299" t="s">
        <v>93</v>
      </c>
      <c r="J52" s="300">
        <f>ROUND((F52*D51/3600)*(1-I52),4)</f>
        <v>1E-4</v>
      </c>
      <c r="K52" s="300">
        <f>ROUND((F52*E51/1000000)*(1-I52),5)</f>
        <v>1.0000000000000001E-5</v>
      </c>
      <c r="L52" s="117"/>
      <c r="M52" s="117"/>
      <c r="N52" s="2"/>
      <c r="O52" s="2"/>
    </row>
    <row r="53" spans="1:15" ht="15" customHeight="1" x14ac:dyDescent="0.25">
      <c r="A53" s="472"/>
      <c r="B53" s="475"/>
      <c r="C53" s="478"/>
      <c r="D53" s="478"/>
      <c r="E53" s="478"/>
      <c r="F53" s="286">
        <v>0.92</v>
      </c>
      <c r="G53" s="298" t="s">
        <v>96</v>
      </c>
      <c r="H53" s="299" t="s">
        <v>97</v>
      </c>
      <c r="I53" s="299" t="s">
        <v>93</v>
      </c>
      <c r="J53" s="300">
        <f>ROUND((F53*D51/3600)*(1-I53),5)</f>
        <v>3.0000000000000001E-5</v>
      </c>
      <c r="K53" s="300">
        <f>ROUND((F53*E51/1000000)*(1-I53),5)</f>
        <v>1.0000000000000001E-5</v>
      </c>
      <c r="L53" s="117"/>
      <c r="M53" s="117"/>
      <c r="N53" s="2"/>
      <c r="O53" s="2"/>
    </row>
    <row r="54" spans="1:15" ht="15" customHeight="1" x14ac:dyDescent="0.25">
      <c r="A54" s="472"/>
      <c r="B54" s="475"/>
      <c r="C54" s="478"/>
      <c r="D54" s="478"/>
      <c r="E54" s="478"/>
      <c r="F54" s="286">
        <v>3.3</v>
      </c>
      <c r="G54" s="298" t="s">
        <v>98</v>
      </c>
      <c r="H54" s="299" t="s">
        <v>99</v>
      </c>
      <c r="I54" s="299" t="s">
        <v>93</v>
      </c>
      <c r="J54" s="300">
        <f>ROUND((F54*D51/3600)*(1-I54),4)</f>
        <v>1E-4</v>
      </c>
      <c r="K54" s="300">
        <f>ROUND((F54*E51/1000000)*(1-I54),5)</f>
        <v>2.0000000000000002E-5</v>
      </c>
      <c r="L54" s="117"/>
      <c r="M54" s="117"/>
      <c r="N54" s="2"/>
      <c r="O54" s="2"/>
    </row>
    <row r="55" spans="1:15" ht="15" customHeight="1" x14ac:dyDescent="0.25">
      <c r="A55" s="472"/>
      <c r="B55" s="475"/>
      <c r="C55" s="478"/>
      <c r="D55" s="478"/>
      <c r="E55" s="478"/>
      <c r="F55" s="286">
        <v>10.69</v>
      </c>
      <c r="G55" s="298" t="s">
        <v>100</v>
      </c>
      <c r="H55" s="299" t="s">
        <v>101</v>
      </c>
      <c r="I55" s="299" t="s">
        <v>93</v>
      </c>
      <c r="J55" s="300">
        <f>ROUND((F55*D51/3600)*(1-I55),4)</f>
        <v>4.0000000000000002E-4</v>
      </c>
      <c r="K55" s="300">
        <f>ROUND((F55*E51/1000000)*(1-I55),4)</f>
        <v>1E-4</v>
      </c>
      <c r="L55" s="117"/>
      <c r="M55" s="117"/>
      <c r="N55" s="2"/>
      <c r="O55" s="2"/>
    </row>
    <row r="56" spans="1:15" ht="15" customHeight="1" x14ac:dyDescent="0.25">
      <c r="A56" s="472"/>
      <c r="B56" s="475"/>
      <c r="C56" s="478"/>
      <c r="D56" s="478"/>
      <c r="E56" s="478"/>
      <c r="F56" s="286">
        <v>1.4</v>
      </c>
      <c r="G56" s="303" t="s">
        <v>102</v>
      </c>
      <c r="H56" s="304">
        <v>2908</v>
      </c>
      <c r="I56" s="299" t="s">
        <v>93</v>
      </c>
      <c r="J56" s="300">
        <f>ROUND((F56*D51/3600)*(1-I56),4)</f>
        <v>1E-4</v>
      </c>
      <c r="K56" s="300">
        <f>ROUND((F56*E51/1000000)*(1-I56),5)</f>
        <v>1.0000000000000001E-5</v>
      </c>
      <c r="L56" s="117"/>
      <c r="M56" s="117"/>
      <c r="N56" s="2"/>
      <c r="O56" s="2"/>
    </row>
    <row r="57" spans="1:15" x14ac:dyDescent="0.25">
      <c r="A57" s="473"/>
      <c r="B57" s="476"/>
      <c r="C57" s="479"/>
      <c r="D57" s="479"/>
      <c r="E57" s="479"/>
      <c r="F57" s="286">
        <v>13.3</v>
      </c>
      <c r="G57" s="298" t="s">
        <v>103</v>
      </c>
      <c r="H57" s="299" t="s">
        <v>104</v>
      </c>
      <c r="I57" s="299" t="s">
        <v>93</v>
      </c>
      <c r="J57" s="300">
        <f>ROUND((F57*D51/3600)*(1-I57),4)</f>
        <v>5.0000000000000001E-4</v>
      </c>
      <c r="K57" s="300">
        <f>ROUND((F57*E51/1000000)*(1-I57),4)</f>
        <v>1E-4</v>
      </c>
      <c r="L57" s="72">
        <f>SUM(J51:J57)</f>
        <v>1.2600000000000001E-3</v>
      </c>
      <c r="M57" s="72">
        <f>SUM(K51:K57)</f>
        <v>2.6000000000000003E-4</v>
      </c>
      <c r="N57" s="2"/>
      <c r="O57" s="2"/>
    </row>
  </sheetData>
  <mergeCells count="44">
    <mergeCell ref="J27:K27"/>
    <mergeCell ref="A19:K19"/>
    <mergeCell ref="D27:E27"/>
    <mergeCell ref="F27:F28"/>
    <mergeCell ref="G27:G28"/>
    <mergeCell ref="H27:H28"/>
    <mergeCell ref="I27:I28"/>
    <mergeCell ref="E42:E48"/>
    <mergeCell ref="A1:K1"/>
    <mergeCell ref="A3:P3"/>
    <mergeCell ref="A4:K4"/>
    <mergeCell ref="A6:K6"/>
    <mergeCell ref="A7:K7"/>
    <mergeCell ref="A8:K8"/>
    <mergeCell ref="A9:K9"/>
    <mergeCell ref="A11:K11"/>
    <mergeCell ref="A14:K14"/>
    <mergeCell ref="A15:K15"/>
    <mergeCell ref="A16:K16"/>
    <mergeCell ref="A17:K17"/>
    <mergeCell ref="A27:A28"/>
    <mergeCell ref="B27:B28"/>
    <mergeCell ref="C27:C28"/>
    <mergeCell ref="A51:A57"/>
    <mergeCell ref="B51:B57"/>
    <mergeCell ref="C51:C57"/>
    <mergeCell ref="D51:D57"/>
    <mergeCell ref="E51:E57"/>
    <mergeCell ref="A31:K31"/>
    <mergeCell ref="A32:K32"/>
    <mergeCell ref="A30:K30"/>
    <mergeCell ref="A49:K49"/>
    <mergeCell ref="A50:K50"/>
    <mergeCell ref="A40:K40"/>
    <mergeCell ref="A33:A39"/>
    <mergeCell ref="B33:B39"/>
    <mergeCell ref="C33:C39"/>
    <mergeCell ref="D33:D39"/>
    <mergeCell ref="E33:E39"/>
    <mergeCell ref="A41:K41"/>
    <mergeCell ref="A42:A48"/>
    <mergeCell ref="B42:B48"/>
    <mergeCell ref="C42:C48"/>
    <mergeCell ref="D42:D48"/>
  </mergeCells>
  <pageMargins left="0.31496062992125984" right="0.31496062992125984" top="0.74803149606299213" bottom="0.74803149606299213" header="0.31496062992125984" footer="0.31496062992125984"/>
  <pageSetup paperSize="9" firstPageNumber="249" orientation="landscape" useFirstPageNumber="1" horizontalDpi="1200" verticalDpi="1200" r:id="rId1"/>
  <headerFoot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T63"/>
  <sheetViews>
    <sheetView view="pageBreakPreview" topLeftCell="A16" zoomScale="85" zoomScaleNormal="100" zoomScaleSheetLayoutView="85" workbookViewId="0">
      <selection activeCell="F43" sqref="F43"/>
    </sheetView>
  </sheetViews>
  <sheetFormatPr defaultRowHeight="15" x14ac:dyDescent="0.25"/>
  <cols>
    <col min="1" max="1" width="7.85546875" customWidth="1"/>
    <col min="2" max="2" width="12.5703125" style="73" customWidth="1"/>
    <col min="3" max="3" width="11.28515625" customWidth="1"/>
    <col min="4" max="4" width="7.140625" customWidth="1"/>
    <col min="5" max="5" width="7.85546875" customWidth="1"/>
    <col min="6" max="6" width="9" customWidth="1"/>
    <col min="7" max="7" width="7.85546875" customWidth="1"/>
    <col min="8" max="8" width="6.5703125" customWidth="1"/>
    <col min="9" max="9" width="7.140625" customWidth="1"/>
    <col min="10" max="10" width="7.28515625" customWidth="1"/>
    <col min="11" max="11" width="21.42578125" customWidth="1"/>
    <col min="12" max="12" width="7" customWidth="1"/>
    <col min="13" max="13" width="6.42578125" customWidth="1"/>
    <col min="14" max="14" width="10.28515625" customWidth="1"/>
    <col min="15" max="15" width="9.85546875" customWidth="1"/>
    <col min="16" max="17" width="9.85546875" style="331" customWidth="1"/>
    <col min="18" max="18" width="11.28515625" customWidth="1"/>
  </cols>
  <sheetData>
    <row r="1" spans="1:17" s="122" customFormat="1" ht="18.75" customHeight="1" x14ac:dyDescent="0.25">
      <c r="A1" s="401" t="s">
        <v>313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319"/>
      <c r="Q1" s="319"/>
    </row>
    <row r="2" spans="1:17" s="122" customFormat="1" ht="18.75" customHeight="1" x14ac:dyDescent="0.2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319"/>
      <c r="Q2" s="319"/>
    </row>
    <row r="3" spans="1:17" s="109" customFormat="1" ht="14.25" customHeight="1" x14ac:dyDescent="0.25">
      <c r="A3" s="481" t="s">
        <v>211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P3" s="323"/>
      <c r="Q3" s="323"/>
    </row>
    <row r="4" spans="1:17" s="109" customFormat="1" ht="30" customHeight="1" x14ac:dyDescent="0.25">
      <c r="A4" s="482" t="s">
        <v>290</v>
      </c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324"/>
      <c r="Q4" s="324"/>
    </row>
    <row r="5" spans="1:17" s="122" customFormat="1" ht="11.25" customHeight="1" x14ac:dyDescent="0.25">
      <c r="K5" s="123"/>
      <c r="P5" s="325"/>
      <c r="Q5" s="325"/>
    </row>
    <row r="6" spans="1:17" s="122" customFormat="1" ht="24.75" customHeight="1" x14ac:dyDescent="0.25">
      <c r="A6" s="497" t="s">
        <v>291</v>
      </c>
      <c r="B6" s="497"/>
      <c r="C6" s="497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7"/>
      <c r="O6" s="497"/>
      <c r="P6" s="326"/>
      <c r="Q6" s="326"/>
    </row>
    <row r="7" spans="1:17" s="122" customFormat="1" ht="6" customHeight="1" x14ac:dyDescent="0.25">
      <c r="K7" s="123"/>
      <c r="P7" s="325"/>
      <c r="Q7" s="325"/>
    </row>
    <row r="8" spans="1:17" s="125" customFormat="1" ht="26.25" customHeight="1" x14ac:dyDescent="0.25">
      <c r="A8" s="497" t="s">
        <v>292</v>
      </c>
      <c r="B8" s="497"/>
      <c r="C8" s="497"/>
      <c r="D8" s="497"/>
      <c r="E8" s="497"/>
      <c r="F8" s="497"/>
      <c r="G8" s="497"/>
      <c r="H8" s="497"/>
      <c r="I8" s="497"/>
      <c r="J8" s="497"/>
      <c r="K8" s="497"/>
      <c r="L8" s="497"/>
      <c r="M8" s="497"/>
      <c r="N8" s="497"/>
      <c r="O8" s="497"/>
      <c r="P8" s="326"/>
      <c r="Q8" s="326"/>
    </row>
    <row r="9" spans="1:17" s="122" customFormat="1" ht="18.75" customHeight="1" x14ac:dyDescent="0.25">
      <c r="A9" s="401" t="s">
        <v>293</v>
      </c>
      <c r="B9" s="401"/>
      <c r="C9" s="401"/>
      <c r="D9" s="401"/>
      <c r="E9" s="401"/>
      <c r="F9" s="401"/>
      <c r="G9" s="401"/>
      <c r="H9" s="401"/>
      <c r="I9" s="401"/>
      <c r="J9" s="401"/>
      <c r="K9" s="401"/>
      <c r="L9" s="401"/>
      <c r="M9" s="401"/>
      <c r="N9" s="401"/>
      <c r="O9" s="401"/>
      <c r="P9" s="319"/>
      <c r="Q9" s="319"/>
    </row>
    <row r="10" spans="1:17" s="127" customFormat="1" ht="15" customHeight="1" x14ac:dyDescent="0.25">
      <c r="A10" s="126" t="s">
        <v>294</v>
      </c>
      <c r="K10" s="126"/>
      <c r="P10" s="327"/>
      <c r="Q10" s="327"/>
    </row>
    <row r="11" spans="1:17" s="127" customFormat="1" ht="18.75" customHeight="1" x14ac:dyDescent="0.25">
      <c r="A11" s="498" t="s">
        <v>295</v>
      </c>
      <c r="B11" s="498"/>
      <c r="C11" s="498"/>
      <c r="D11" s="498"/>
      <c r="E11" s="498"/>
      <c r="F11" s="498"/>
      <c r="G11" s="498"/>
      <c r="H11" s="498"/>
      <c r="I11" s="498"/>
      <c r="J11" s="498"/>
      <c r="K11" s="498"/>
      <c r="L11" s="498"/>
      <c r="M11" s="498"/>
      <c r="N11" s="498"/>
      <c r="O11" s="498"/>
      <c r="P11" s="328"/>
      <c r="Q11" s="328"/>
    </row>
    <row r="12" spans="1:17" s="127" customFormat="1" ht="32.25" customHeight="1" x14ac:dyDescent="0.25">
      <c r="A12" s="498" t="s">
        <v>296</v>
      </c>
      <c r="B12" s="498"/>
      <c r="C12" s="498"/>
      <c r="D12" s="498"/>
      <c r="E12" s="498"/>
      <c r="F12" s="498"/>
      <c r="G12" s="498"/>
      <c r="H12" s="498"/>
      <c r="I12" s="498"/>
      <c r="J12" s="498"/>
      <c r="K12" s="498"/>
      <c r="L12" s="498"/>
      <c r="M12" s="498"/>
      <c r="N12" s="498"/>
      <c r="O12" s="498"/>
      <c r="P12" s="328"/>
      <c r="Q12" s="328"/>
    </row>
    <row r="13" spans="1:17" s="122" customFormat="1" x14ac:dyDescent="0.25">
      <c r="K13" s="123"/>
      <c r="P13" s="325"/>
      <c r="Q13" s="325"/>
    </row>
    <row r="14" spans="1:17" s="124" customFormat="1" ht="39.75" customHeight="1" x14ac:dyDescent="0.25">
      <c r="A14" s="497" t="s">
        <v>297</v>
      </c>
      <c r="B14" s="497"/>
      <c r="C14" s="497"/>
      <c r="D14" s="497"/>
      <c r="E14" s="497"/>
      <c r="F14" s="497"/>
      <c r="G14" s="497"/>
      <c r="H14" s="497"/>
      <c r="I14" s="497"/>
      <c r="J14" s="497"/>
      <c r="K14" s="497"/>
      <c r="L14" s="497"/>
      <c r="M14" s="497"/>
      <c r="N14" s="497"/>
      <c r="O14" s="497"/>
      <c r="P14" s="326"/>
      <c r="Q14" s="326"/>
    </row>
    <row r="15" spans="1:17" s="124" customFormat="1" ht="36" customHeight="1" x14ac:dyDescent="0.25">
      <c r="A15" s="497" t="s">
        <v>298</v>
      </c>
      <c r="B15" s="497"/>
      <c r="C15" s="497"/>
      <c r="D15" s="497"/>
      <c r="E15" s="497"/>
      <c r="F15" s="497"/>
      <c r="G15" s="497"/>
      <c r="H15" s="497"/>
      <c r="I15" s="497"/>
      <c r="J15" s="497"/>
      <c r="K15" s="497"/>
      <c r="L15" s="497"/>
      <c r="M15" s="497"/>
      <c r="N15" s="497"/>
      <c r="O15" s="497"/>
      <c r="P15" s="326"/>
      <c r="Q15" s="326"/>
    </row>
    <row r="16" spans="1:17" s="124" customFormat="1" ht="12.75" customHeight="1" x14ac:dyDescent="0.25">
      <c r="P16" s="326"/>
      <c r="Q16" s="326"/>
    </row>
    <row r="17" spans="1:17" s="122" customFormat="1" ht="15.75" customHeight="1" x14ac:dyDescent="0.25">
      <c r="A17" s="401" t="s">
        <v>299</v>
      </c>
      <c r="B17" s="401"/>
      <c r="C17" s="401"/>
      <c r="D17" s="401"/>
      <c r="E17" s="401"/>
      <c r="F17" s="401"/>
      <c r="G17" s="401"/>
      <c r="H17" s="401"/>
      <c r="I17" s="401"/>
      <c r="J17" s="401"/>
      <c r="K17" s="401"/>
      <c r="L17" s="401"/>
      <c r="M17" s="401"/>
      <c r="N17" s="401"/>
      <c r="O17" s="401"/>
      <c r="P17" s="319"/>
      <c r="Q17" s="319"/>
    </row>
    <row r="18" spans="1:17" s="122" customFormat="1" ht="9.75" customHeight="1" x14ac:dyDescent="0.25">
      <c r="K18" s="123"/>
      <c r="P18" s="325"/>
      <c r="Q18" s="325"/>
    </row>
    <row r="19" spans="1:17" s="124" customFormat="1" ht="15" customHeight="1" x14ac:dyDescent="0.25">
      <c r="A19" s="497" t="s">
        <v>300</v>
      </c>
      <c r="B19" s="497"/>
      <c r="C19" s="497"/>
      <c r="D19" s="497"/>
      <c r="E19" s="497"/>
      <c r="F19" s="497"/>
      <c r="G19" s="497"/>
      <c r="H19" s="497"/>
      <c r="I19" s="497"/>
      <c r="J19" s="497"/>
      <c r="K19" s="497"/>
      <c r="L19" s="497"/>
      <c r="M19" s="497"/>
      <c r="N19" s="497"/>
      <c r="O19" s="497"/>
      <c r="P19" s="326"/>
      <c r="Q19" s="326"/>
    </row>
    <row r="20" spans="1:17" s="124" customFormat="1" ht="11.25" customHeight="1" x14ac:dyDescent="0.25">
      <c r="P20" s="326"/>
      <c r="Q20" s="326"/>
    </row>
    <row r="21" spans="1:17" s="122" customFormat="1" ht="21.75" customHeight="1" x14ac:dyDescent="0.25">
      <c r="A21" s="401" t="s">
        <v>301</v>
      </c>
      <c r="B21" s="401"/>
      <c r="C21" s="401"/>
      <c r="D21" s="401"/>
      <c r="E21" s="401"/>
      <c r="F21" s="401"/>
      <c r="G21" s="401"/>
      <c r="H21" s="401"/>
      <c r="I21" s="401"/>
      <c r="J21" s="401"/>
      <c r="K21" s="401"/>
      <c r="L21" s="401"/>
      <c r="M21" s="401"/>
      <c r="N21" s="401"/>
      <c r="O21" s="401"/>
      <c r="P21" s="319"/>
      <c r="Q21" s="319"/>
    </row>
    <row r="22" spans="1:17" s="127" customFormat="1" ht="15.75" x14ac:dyDescent="0.25">
      <c r="A22" s="126" t="s">
        <v>294</v>
      </c>
      <c r="K22" s="126"/>
      <c r="P22" s="327"/>
      <c r="Q22" s="327"/>
    </row>
    <row r="23" spans="1:17" s="127" customFormat="1" ht="31.5" customHeight="1" x14ac:dyDescent="0.25">
      <c r="A23" s="498" t="s">
        <v>302</v>
      </c>
      <c r="B23" s="498"/>
      <c r="C23" s="498"/>
      <c r="D23" s="498"/>
      <c r="E23" s="498"/>
      <c r="F23" s="498"/>
      <c r="G23" s="498"/>
      <c r="H23" s="498"/>
      <c r="I23" s="498"/>
      <c r="J23" s="498"/>
      <c r="K23" s="498"/>
      <c r="L23" s="498"/>
      <c r="M23" s="498"/>
      <c r="N23" s="498"/>
      <c r="O23" s="498"/>
      <c r="P23" s="328"/>
      <c r="Q23" s="328"/>
    </row>
    <row r="24" spans="1:17" s="127" customFormat="1" ht="32.25" customHeight="1" x14ac:dyDescent="0.25">
      <c r="A24" s="498" t="s">
        <v>296</v>
      </c>
      <c r="B24" s="498"/>
      <c r="C24" s="498"/>
      <c r="D24" s="498"/>
      <c r="E24" s="498"/>
      <c r="F24" s="498"/>
      <c r="G24" s="498"/>
      <c r="H24" s="498"/>
      <c r="I24" s="498"/>
      <c r="J24" s="498"/>
      <c r="K24" s="498"/>
      <c r="L24" s="498"/>
      <c r="M24" s="498"/>
      <c r="N24" s="498"/>
      <c r="O24" s="498"/>
      <c r="P24" s="328"/>
      <c r="Q24" s="328"/>
    </row>
    <row r="25" spans="1:17" s="122" customFormat="1" ht="20.25" customHeight="1" x14ac:dyDescent="0.25">
      <c r="A25" s="498" t="s">
        <v>303</v>
      </c>
      <c r="B25" s="498"/>
      <c r="C25" s="498"/>
      <c r="D25" s="498"/>
      <c r="E25" s="498"/>
      <c r="F25" s="498"/>
      <c r="G25" s="498"/>
      <c r="H25" s="498"/>
      <c r="I25" s="498"/>
      <c r="J25" s="498"/>
      <c r="K25" s="498"/>
      <c r="L25" s="498"/>
      <c r="M25" s="498"/>
      <c r="N25" s="498"/>
      <c r="O25" s="498"/>
      <c r="P25" s="328"/>
      <c r="Q25" s="328"/>
    </row>
    <row r="26" spans="1:17" s="122" customFormat="1" ht="23.25" customHeight="1" x14ac:dyDescent="0.25">
      <c r="A26" s="497" t="s">
        <v>304</v>
      </c>
      <c r="B26" s="497"/>
      <c r="C26" s="497"/>
      <c r="D26" s="497"/>
      <c r="E26" s="497"/>
      <c r="F26" s="497"/>
      <c r="G26" s="497"/>
      <c r="H26" s="497"/>
      <c r="I26" s="497"/>
      <c r="J26" s="497"/>
      <c r="K26" s="497"/>
      <c r="L26" s="497"/>
      <c r="M26" s="497"/>
      <c r="N26" s="497"/>
      <c r="O26" s="497"/>
      <c r="P26" s="326"/>
      <c r="Q26" s="326"/>
    </row>
    <row r="27" spans="1:17" s="122" customFormat="1" ht="13.5" customHeight="1" x14ac:dyDescent="0.25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326"/>
      <c r="Q27" s="326"/>
    </row>
    <row r="28" spans="1:17" s="122" customFormat="1" ht="14.25" customHeight="1" x14ac:dyDescent="0.25">
      <c r="A28" s="401" t="s">
        <v>305</v>
      </c>
      <c r="B28" s="401"/>
      <c r="C28" s="401"/>
      <c r="D28" s="401"/>
      <c r="E28" s="401"/>
      <c r="F28" s="401"/>
      <c r="G28" s="401"/>
      <c r="H28" s="401"/>
      <c r="I28" s="401"/>
      <c r="J28" s="401"/>
      <c r="K28" s="401"/>
      <c r="L28" s="401"/>
      <c r="M28" s="401"/>
      <c r="N28" s="401"/>
      <c r="O28" s="401"/>
      <c r="P28" s="319"/>
      <c r="Q28" s="319"/>
    </row>
    <row r="29" spans="1:17" s="127" customFormat="1" ht="15.75" x14ac:dyDescent="0.25">
      <c r="A29" s="126" t="s">
        <v>294</v>
      </c>
      <c r="K29" s="126"/>
      <c r="P29" s="327"/>
      <c r="Q29" s="327"/>
    </row>
    <row r="30" spans="1:17" s="127" customFormat="1" ht="21.75" customHeight="1" x14ac:dyDescent="0.25">
      <c r="A30" s="498" t="s">
        <v>306</v>
      </c>
      <c r="B30" s="498"/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328"/>
      <c r="Q30" s="328"/>
    </row>
    <row r="31" spans="1:17" s="127" customFormat="1" ht="13.5" customHeight="1" x14ac:dyDescent="0.25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328"/>
      <c r="Q31" s="328"/>
    </row>
    <row r="32" spans="1:17" s="125" customFormat="1" ht="32.25" customHeight="1" x14ac:dyDescent="0.25">
      <c r="A32" s="497" t="s">
        <v>307</v>
      </c>
      <c r="B32" s="497"/>
      <c r="C32" s="497"/>
      <c r="D32" s="497"/>
      <c r="E32" s="497"/>
      <c r="F32" s="497"/>
      <c r="G32" s="497"/>
      <c r="H32" s="497"/>
      <c r="I32" s="497"/>
      <c r="J32" s="497"/>
      <c r="K32" s="497"/>
      <c r="L32" s="497"/>
      <c r="M32" s="497"/>
      <c r="N32" s="497"/>
      <c r="O32" s="497"/>
      <c r="P32" s="326"/>
      <c r="Q32" s="326"/>
    </row>
    <row r="33" spans="1:17" s="128" customFormat="1" ht="15" customHeight="1" x14ac:dyDescent="0.25">
      <c r="A33" s="497" t="s">
        <v>308</v>
      </c>
      <c r="B33" s="497"/>
      <c r="C33" s="497"/>
      <c r="D33" s="497"/>
      <c r="E33" s="497"/>
      <c r="F33" s="497"/>
      <c r="G33" s="497"/>
      <c r="H33" s="497"/>
      <c r="I33" s="497"/>
      <c r="J33" s="497"/>
      <c r="K33" s="497"/>
      <c r="L33" s="497"/>
      <c r="M33" s="497"/>
      <c r="N33" s="497"/>
      <c r="O33" s="497"/>
      <c r="P33" s="326"/>
      <c r="Q33" s="326"/>
    </row>
    <row r="34" spans="1:17" s="128" customFormat="1" ht="9.75" customHeight="1" x14ac:dyDescent="0.25">
      <c r="A34" s="124"/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326"/>
      <c r="Q34" s="326"/>
    </row>
    <row r="35" spans="1:17" s="128" customFormat="1" ht="15" customHeight="1" x14ac:dyDescent="0.25">
      <c r="A35" s="497" t="s">
        <v>309</v>
      </c>
      <c r="B35" s="497"/>
      <c r="C35" s="497"/>
      <c r="D35" s="497"/>
      <c r="E35" s="497"/>
      <c r="F35" s="497"/>
      <c r="G35" s="497"/>
      <c r="H35" s="497"/>
      <c r="I35" s="497"/>
      <c r="J35" s="497"/>
      <c r="K35" s="497"/>
      <c r="L35" s="497"/>
      <c r="M35" s="497"/>
      <c r="N35" s="497"/>
      <c r="O35" s="497"/>
      <c r="P35" s="326"/>
      <c r="Q35" s="326"/>
    </row>
    <row r="36" spans="1:17" s="127" customFormat="1" ht="15.75" x14ac:dyDescent="0.25">
      <c r="A36" s="126" t="s">
        <v>294</v>
      </c>
      <c r="K36" s="126"/>
      <c r="P36" s="327"/>
      <c r="Q36" s="327"/>
    </row>
    <row r="37" spans="1:17" s="127" customFormat="1" ht="21.75" customHeight="1" x14ac:dyDescent="0.25">
      <c r="A37" s="498" t="s">
        <v>310</v>
      </c>
      <c r="B37" s="498"/>
      <c r="C37" s="498"/>
      <c r="D37" s="498"/>
      <c r="E37" s="498"/>
      <c r="F37" s="498"/>
      <c r="G37" s="498"/>
      <c r="H37" s="498"/>
      <c r="I37" s="498"/>
      <c r="J37" s="498"/>
      <c r="K37" s="498"/>
      <c r="L37" s="498"/>
      <c r="M37" s="498"/>
      <c r="N37" s="498"/>
      <c r="O37" s="498"/>
      <c r="P37" s="328"/>
      <c r="Q37" s="328"/>
    </row>
    <row r="38" spans="1:17" s="127" customFormat="1" ht="21.75" customHeight="1" x14ac:dyDescent="0.25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328"/>
      <c r="Q38" s="328"/>
    </row>
    <row r="39" spans="1:17" s="122" customFormat="1" ht="33.75" customHeight="1" x14ac:dyDescent="0.25">
      <c r="A39" s="497" t="s">
        <v>314</v>
      </c>
      <c r="B39" s="497"/>
      <c r="C39" s="497"/>
      <c r="D39" s="497"/>
      <c r="E39" s="497"/>
      <c r="F39" s="497"/>
      <c r="G39" s="497"/>
      <c r="H39" s="497"/>
      <c r="I39" s="497"/>
      <c r="J39" s="497"/>
      <c r="K39" s="497"/>
      <c r="L39" s="497"/>
      <c r="M39" s="497"/>
      <c r="N39" s="497"/>
      <c r="O39" s="497"/>
      <c r="P39" s="326"/>
      <c r="Q39" s="326"/>
    </row>
    <row r="40" spans="1:17" s="122" customFormat="1" ht="33.75" customHeight="1" x14ac:dyDescent="0.25">
      <c r="A40" s="124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326"/>
      <c r="Q40" s="326"/>
    </row>
    <row r="41" spans="1:17" s="122" customFormat="1" ht="33.75" customHeight="1" x14ac:dyDescent="0.25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326"/>
      <c r="Q41" s="326"/>
    </row>
    <row r="42" spans="1:17" s="122" customFormat="1" ht="33.75" customHeight="1" x14ac:dyDescent="0.25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326"/>
      <c r="Q42" s="326"/>
    </row>
    <row r="43" spans="1:17" s="122" customFormat="1" ht="33.75" customHeight="1" x14ac:dyDescent="0.25">
      <c r="A43" s="124"/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326"/>
      <c r="Q43" s="326"/>
    </row>
    <row r="44" spans="1:17" s="122" customFormat="1" ht="33.75" customHeight="1" x14ac:dyDescent="0.25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326"/>
      <c r="Q44" s="326"/>
    </row>
    <row r="45" spans="1:17" s="122" customFormat="1" ht="33.75" customHeight="1" x14ac:dyDescent="0.25">
      <c r="A45" s="124"/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326"/>
      <c r="Q45" s="326"/>
    </row>
    <row r="46" spans="1:17" s="122" customFormat="1" ht="9.75" customHeight="1" x14ac:dyDescent="0.25">
      <c r="A46" s="124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326"/>
      <c r="Q46" s="326"/>
    </row>
    <row r="47" spans="1:17" s="122" customFormat="1" ht="16.5" customHeight="1" x14ac:dyDescent="0.25">
      <c r="A47" s="499" t="s">
        <v>414</v>
      </c>
      <c r="B47" s="499"/>
      <c r="C47" s="499"/>
      <c r="D47" s="499"/>
      <c r="E47" s="499"/>
      <c r="F47" s="499"/>
      <c r="G47" s="499"/>
      <c r="H47" s="499"/>
      <c r="I47" s="499"/>
      <c r="J47" s="499"/>
      <c r="K47" s="499"/>
      <c r="L47" s="499"/>
      <c r="M47" s="499"/>
      <c r="N47" s="499"/>
      <c r="O47" s="499"/>
      <c r="P47" s="326"/>
      <c r="Q47" s="326"/>
    </row>
    <row r="48" spans="1:17" s="122" customFormat="1" x14ac:dyDescent="0.25">
      <c r="A48" s="500" t="s">
        <v>311</v>
      </c>
      <c r="B48" s="500" t="s">
        <v>121</v>
      </c>
      <c r="C48" s="500" t="s">
        <v>315</v>
      </c>
      <c r="D48" s="500" t="s">
        <v>122</v>
      </c>
      <c r="E48" s="500" t="s">
        <v>312</v>
      </c>
      <c r="F48" s="500" t="s">
        <v>123</v>
      </c>
      <c r="G48" s="500" t="s">
        <v>124</v>
      </c>
      <c r="H48" s="504" t="s">
        <v>125</v>
      </c>
      <c r="I48" s="504" t="s">
        <v>126</v>
      </c>
      <c r="J48" s="504" t="s">
        <v>127</v>
      </c>
      <c r="K48" s="500" t="s">
        <v>65</v>
      </c>
      <c r="L48" s="500" t="s">
        <v>14</v>
      </c>
      <c r="M48" s="500" t="s">
        <v>128</v>
      </c>
      <c r="N48" s="502" t="s">
        <v>129</v>
      </c>
      <c r="O48" s="503"/>
      <c r="P48" s="329"/>
      <c r="Q48" s="329"/>
    </row>
    <row r="49" spans="1:20" s="122" customFormat="1" ht="45" customHeight="1" x14ac:dyDescent="0.25">
      <c r="A49" s="501"/>
      <c r="B49" s="501"/>
      <c r="C49" s="501"/>
      <c r="D49" s="501"/>
      <c r="E49" s="501"/>
      <c r="F49" s="501"/>
      <c r="G49" s="501"/>
      <c r="H49" s="505"/>
      <c r="I49" s="505"/>
      <c r="J49" s="505"/>
      <c r="K49" s="501"/>
      <c r="L49" s="501"/>
      <c r="M49" s="501"/>
      <c r="N49" s="129" t="s">
        <v>130</v>
      </c>
      <c r="O49" s="129" t="s">
        <v>131</v>
      </c>
      <c r="P49" s="329"/>
      <c r="Q49" s="329"/>
    </row>
    <row r="50" spans="1:20" s="122" customFormat="1" ht="14.1" customHeight="1" x14ac:dyDescent="0.25">
      <c r="A50" s="130" t="s">
        <v>132</v>
      </c>
      <c r="B50" s="130" t="s">
        <v>133</v>
      </c>
      <c r="C50" s="130" t="s">
        <v>134</v>
      </c>
      <c r="D50" s="130" t="s">
        <v>135</v>
      </c>
      <c r="E50" s="130">
        <v>5</v>
      </c>
      <c r="F50" s="130">
        <v>6</v>
      </c>
      <c r="G50" s="130">
        <v>7</v>
      </c>
      <c r="H50" s="130">
        <v>8</v>
      </c>
      <c r="I50" s="130">
        <v>9</v>
      </c>
      <c r="J50" s="130">
        <v>10</v>
      </c>
      <c r="K50" s="130">
        <v>11</v>
      </c>
      <c r="L50" s="130">
        <v>12</v>
      </c>
      <c r="M50" s="130">
        <v>13</v>
      </c>
      <c r="N50" s="130">
        <v>14</v>
      </c>
      <c r="O50" s="130">
        <v>15</v>
      </c>
      <c r="P50" s="329"/>
      <c r="Q50" s="329"/>
    </row>
    <row r="51" spans="1:20" ht="14.1" customHeight="1" x14ac:dyDescent="0.25">
      <c r="A51" s="487" t="s">
        <v>207</v>
      </c>
      <c r="B51" s="488"/>
      <c r="C51" s="488"/>
      <c r="D51" s="488"/>
      <c r="E51" s="488"/>
      <c r="F51" s="488"/>
      <c r="G51" s="488"/>
      <c r="H51" s="488"/>
      <c r="I51" s="488"/>
      <c r="J51" s="488"/>
      <c r="K51" s="488"/>
      <c r="L51" s="488"/>
      <c r="M51" s="488"/>
      <c r="N51" s="488"/>
      <c r="O51" s="489"/>
      <c r="P51" s="320"/>
      <c r="Q51" s="320"/>
    </row>
    <row r="52" spans="1:20" ht="14.1" customHeight="1" x14ac:dyDescent="0.25">
      <c r="A52" s="490" t="s">
        <v>17</v>
      </c>
      <c r="B52" s="491"/>
      <c r="C52" s="491"/>
      <c r="D52" s="491"/>
      <c r="E52" s="491"/>
      <c r="F52" s="491"/>
      <c r="G52" s="491"/>
      <c r="H52" s="491"/>
      <c r="I52" s="491"/>
      <c r="J52" s="491"/>
      <c r="K52" s="491"/>
      <c r="L52" s="491"/>
      <c r="M52" s="491"/>
      <c r="N52" s="491"/>
      <c r="O52" s="492"/>
      <c r="P52" s="321"/>
      <c r="Q52" s="321"/>
    </row>
    <row r="53" spans="1:20" ht="14.1" customHeight="1" x14ac:dyDescent="0.25">
      <c r="A53" s="490" t="s">
        <v>20</v>
      </c>
      <c r="B53" s="491"/>
      <c r="C53" s="491"/>
      <c r="D53" s="491"/>
      <c r="E53" s="491"/>
      <c r="F53" s="491"/>
      <c r="G53" s="491"/>
      <c r="H53" s="491"/>
      <c r="I53" s="491"/>
      <c r="J53" s="491"/>
      <c r="K53" s="491"/>
      <c r="L53" s="491"/>
      <c r="M53" s="491"/>
      <c r="N53" s="491"/>
      <c r="O53" s="492"/>
      <c r="P53" s="321"/>
      <c r="Q53" s="321"/>
      <c r="R53" s="20"/>
    </row>
    <row r="54" spans="1:20" ht="14.1" customHeight="1" x14ac:dyDescent="0.25">
      <c r="A54" s="493">
        <v>9004</v>
      </c>
      <c r="B54" s="495" t="s">
        <v>136</v>
      </c>
      <c r="C54" s="305" t="s">
        <v>137</v>
      </c>
      <c r="D54" s="306">
        <v>3.6</v>
      </c>
      <c r="E54" s="306">
        <v>3.14</v>
      </c>
      <c r="F54" s="306">
        <v>32.515000000000001</v>
      </c>
      <c r="G54" s="306">
        <v>0</v>
      </c>
      <c r="H54" s="307">
        <v>1.6</v>
      </c>
      <c r="I54" s="307">
        <v>2.2000000000000002</v>
      </c>
      <c r="J54" s="307">
        <v>50</v>
      </c>
      <c r="K54" s="308" t="s">
        <v>138</v>
      </c>
      <c r="L54" s="309">
        <v>2754</v>
      </c>
      <c r="M54" s="309">
        <v>99.72</v>
      </c>
      <c r="N54" s="310">
        <f>ROUND(((D54*E54*2/3600)*(M54/100)),4)</f>
        <v>6.3E-3</v>
      </c>
      <c r="O54" s="310">
        <f>ROUND(((((H54*F54+I54*G54)/1000000)+(0.5*J54*(F54+G54)/1000000))*(M54/100)),5)</f>
        <v>8.5999999999999998E-4</v>
      </c>
      <c r="P54" s="330"/>
      <c r="Q54" s="330"/>
      <c r="R54" s="19">
        <v>32.515000000000001</v>
      </c>
      <c r="S54" s="19" t="s">
        <v>139</v>
      </c>
      <c r="T54">
        <f>F54+G54</f>
        <v>32.515000000000001</v>
      </c>
    </row>
    <row r="55" spans="1:20" ht="14.1" customHeight="1" x14ac:dyDescent="0.25">
      <c r="A55" s="494"/>
      <c r="B55" s="496"/>
      <c r="C55" s="311"/>
      <c r="D55" s="312"/>
      <c r="E55" s="312"/>
      <c r="F55" s="312"/>
      <c r="G55" s="312"/>
      <c r="H55" s="313"/>
      <c r="I55" s="313"/>
      <c r="J55" s="313"/>
      <c r="K55" s="314" t="s">
        <v>140</v>
      </c>
      <c r="L55" s="315" t="s">
        <v>141</v>
      </c>
      <c r="M55" s="315" t="s">
        <v>142</v>
      </c>
      <c r="N55" s="316">
        <f>ROUND(((D54*E54*2/3600)*(M55/100)),5)</f>
        <v>2.0000000000000002E-5</v>
      </c>
      <c r="O55" s="316">
        <f>ROUND(((((H54*F54+I54*G54)/1000000)+(0.5*J54*(F54+G54)/1000000))*(M55/100)),6)</f>
        <v>1.9999999999999999E-6</v>
      </c>
      <c r="P55" s="322">
        <f>SUM(N54:N55)</f>
        <v>6.3200000000000001E-3</v>
      </c>
      <c r="Q55" s="322">
        <f>SUM(O54:O55)</f>
        <v>8.6200000000000003E-4</v>
      </c>
      <c r="R55" s="20"/>
    </row>
    <row r="56" spans="1:20" ht="14.1" customHeight="1" x14ac:dyDescent="0.25">
      <c r="A56" s="490" t="s">
        <v>21</v>
      </c>
      <c r="B56" s="491"/>
      <c r="C56" s="491"/>
      <c r="D56" s="491"/>
      <c r="E56" s="491"/>
      <c r="F56" s="491"/>
      <c r="G56" s="491"/>
      <c r="H56" s="491"/>
      <c r="I56" s="491"/>
      <c r="J56" s="491"/>
      <c r="K56" s="491"/>
      <c r="L56" s="491"/>
      <c r="M56" s="491"/>
      <c r="N56" s="491"/>
      <c r="O56" s="492"/>
      <c r="P56" s="321"/>
      <c r="Q56" s="321"/>
      <c r="S56" s="18"/>
      <c r="T56" s="18"/>
    </row>
    <row r="57" spans="1:20" ht="14.1" customHeight="1" x14ac:dyDescent="0.25">
      <c r="A57" s="490" t="s">
        <v>20</v>
      </c>
      <c r="B57" s="491"/>
      <c r="C57" s="491"/>
      <c r="D57" s="491"/>
      <c r="E57" s="491"/>
      <c r="F57" s="491"/>
      <c r="G57" s="491"/>
      <c r="H57" s="491"/>
      <c r="I57" s="491"/>
      <c r="J57" s="491"/>
      <c r="K57" s="491"/>
      <c r="L57" s="491"/>
      <c r="M57" s="491"/>
      <c r="N57" s="491"/>
      <c r="O57" s="492"/>
      <c r="P57" s="321"/>
      <c r="Q57" s="321"/>
      <c r="R57" s="20"/>
      <c r="S57" s="18"/>
      <c r="T57" s="18"/>
    </row>
    <row r="58" spans="1:20" ht="14.1" customHeight="1" x14ac:dyDescent="0.25">
      <c r="A58" s="493">
        <v>9004</v>
      </c>
      <c r="B58" s="495" t="s">
        <v>136</v>
      </c>
      <c r="C58" s="305" t="s">
        <v>137</v>
      </c>
      <c r="D58" s="306">
        <v>3.6</v>
      </c>
      <c r="E58" s="306">
        <v>3.14</v>
      </c>
      <c r="F58" s="306">
        <v>73.632000000000005</v>
      </c>
      <c r="G58" s="306">
        <v>73.632000000000005</v>
      </c>
      <c r="H58" s="307">
        <v>1.6</v>
      </c>
      <c r="I58" s="307">
        <v>2.2000000000000002</v>
      </c>
      <c r="J58" s="307">
        <v>50</v>
      </c>
      <c r="K58" s="308" t="s">
        <v>138</v>
      </c>
      <c r="L58" s="309">
        <v>2754</v>
      </c>
      <c r="M58" s="309">
        <v>99.72</v>
      </c>
      <c r="N58" s="310">
        <f>ROUND(((D58*E58*2/3600)*(M58/100)),4)</f>
        <v>6.3E-3</v>
      </c>
      <c r="O58" s="310">
        <f>ROUND(((((H58*F58+I58*G58)/1000000)+(0.5*J58*(F58+G58)/1000000))*(M58/100)),5)</f>
        <v>3.9500000000000004E-3</v>
      </c>
      <c r="P58" s="330"/>
      <c r="Q58" s="330"/>
      <c r="R58" s="19">
        <v>147.26400000000001</v>
      </c>
      <c r="S58" s="19" t="s">
        <v>139</v>
      </c>
      <c r="T58">
        <f>F58+G58</f>
        <v>147.26400000000001</v>
      </c>
    </row>
    <row r="59" spans="1:20" ht="14.1" customHeight="1" x14ac:dyDescent="0.25">
      <c r="A59" s="494"/>
      <c r="B59" s="496"/>
      <c r="C59" s="311"/>
      <c r="D59" s="312"/>
      <c r="E59" s="312"/>
      <c r="F59" s="312"/>
      <c r="G59" s="312"/>
      <c r="H59" s="313"/>
      <c r="I59" s="313"/>
      <c r="J59" s="313"/>
      <c r="K59" s="314" t="s">
        <v>140</v>
      </c>
      <c r="L59" s="315" t="s">
        <v>141</v>
      </c>
      <c r="M59" s="315" t="s">
        <v>142</v>
      </c>
      <c r="N59" s="316">
        <f>ROUND(((D58*E58*2/3600)*(M59/100)),5)</f>
        <v>2.0000000000000002E-5</v>
      </c>
      <c r="O59" s="316">
        <f>ROUND(((((H58*F58+I58*G58)/1000000)+(0.5*J58*(F58+G58)/1000000))*(M59/100)),6)</f>
        <v>1.1E-5</v>
      </c>
      <c r="P59" s="322">
        <f>SUM(N58:N59)</f>
        <v>6.3200000000000001E-3</v>
      </c>
      <c r="Q59" s="322">
        <f>SUM(O58:O59)</f>
        <v>3.9610000000000001E-3</v>
      </c>
      <c r="R59" s="20"/>
    </row>
    <row r="60" spans="1:20" ht="14.1" customHeight="1" x14ac:dyDescent="0.25">
      <c r="A60" s="490" t="s">
        <v>22</v>
      </c>
      <c r="B60" s="491"/>
      <c r="C60" s="491"/>
      <c r="D60" s="491"/>
      <c r="E60" s="491"/>
      <c r="F60" s="491"/>
      <c r="G60" s="491"/>
      <c r="H60" s="491"/>
      <c r="I60" s="491"/>
      <c r="J60" s="491"/>
      <c r="K60" s="491"/>
      <c r="L60" s="491"/>
      <c r="M60" s="491"/>
      <c r="N60" s="491"/>
      <c r="O60" s="492"/>
      <c r="P60" s="321"/>
      <c r="Q60" s="321"/>
      <c r="R60" s="1"/>
      <c r="S60" s="1"/>
      <c r="T60" s="1"/>
    </row>
    <row r="61" spans="1:20" ht="14.1" customHeight="1" x14ac:dyDescent="0.25">
      <c r="A61" s="490" t="s">
        <v>20</v>
      </c>
      <c r="B61" s="491"/>
      <c r="C61" s="491"/>
      <c r="D61" s="491"/>
      <c r="E61" s="491"/>
      <c r="F61" s="491"/>
      <c r="G61" s="491"/>
      <c r="H61" s="491"/>
      <c r="I61" s="491"/>
      <c r="J61" s="491"/>
      <c r="K61" s="491"/>
      <c r="L61" s="491"/>
      <c r="M61" s="491"/>
      <c r="N61" s="491"/>
      <c r="O61" s="492"/>
      <c r="P61" s="321"/>
      <c r="Q61" s="321"/>
      <c r="R61" s="15"/>
      <c r="S61" s="1"/>
      <c r="T61" s="1"/>
    </row>
    <row r="62" spans="1:20" ht="14.1" customHeight="1" x14ac:dyDescent="0.25">
      <c r="A62" s="493">
        <v>9004</v>
      </c>
      <c r="B62" s="495" t="s">
        <v>136</v>
      </c>
      <c r="C62" s="305" t="s">
        <v>137</v>
      </c>
      <c r="D62" s="306">
        <v>3.6</v>
      </c>
      <c r="E62" s="306">
        <v>3.14</v>
      </c>
      <c r="F62" s="306">
        <v>10.506</v>
      </c>
      <c r="G62" s="306">
        <v>10.506</v>
      </c>
      <c r="H62" s="307">
        <v>1.6</v>
      </c>
      <c r="I62" s="307">
        <v>2.2000000000000002</v>
      </c>
      <c r="J62" s="307">
        <v>50</v>
      </c>
      <c r="K62" s="308" t="s">
        <v>138</v>
      </c>
      <c r="L62" s="309">
        <v>2754</v>
      </c>
      <c r="M62" s="309">
        <v>99.72</v>
      </c>
      <c r="N62" s="310">
        <f>ROUND(((D62*E62*2/3600)*(M62/100)),4)</f>
        <v>6.3E-3</v>
      </c>
      <c r="O62" s="310">
        <f>ROUND(((((H62*F62+I62*G62)/1000000)+(0.5*J62*(F62+G62)/1000000))*(M62/100)),5)</f>
        <v>5.5999999999999995E-4</v>
      </c>
      <c r="P62" s="330"/>
      <c r="Q62" s="330"/>
      <c r="R62" s="16">
        <v>21.012</v>
      </c>
      <c r="S62" s="16" t="s">
        <v>139</v>
      </c>
      <c r="T62" s="2">
        <f>F62+G62</f>
        <v>21.012</v>
      </c>
    </row>
    <row r="63" spans="1:20" ht="14.1" customHeight="1" x14ac:dyDescent="0.25">
      <c r="A63" s="494"/>
      <c r="B63" s="496"/>
      <c r="C63" s="311"/>
      <c r="D63" s="312"/>
      <c r="E63" s="312"/>
      <c r="F63" s="312"/>
      <c r="G63" s="312"/>
      <c r="H63" s="313"/>
      <c r="I63" s="313"/>
      <c r="J63" s="313"/>
      <c r="K63" s="314" t="s">
        <v>140</v>
      </c>
      <c r="L63" s="315" t="s">
        <v>141</v>
      </c>
      <c r="M63" s="315" t="s">
        <v>142</v>
      </c>
      <c r="N63" s="316">
        <f>ROUND(((D62*E62*2/3600)*(M63/100)),5)</f>
        <v>2.0000000000000002E-5</v>
      </c>
      <c r="O63" s="316">
        <f>ROUND(((((H62*F62+I62*G62)/1000000)+(0.5*J62*(F62+G62)/1000000))*(M63/100)),6)</f>
        <v>1.9999999999999999E-6</v>
      </c>
      <c r="P63" s="322">
        <f>SUM(N62:N63)</f>
        <v>6.3200000000000001E-3</v>
      </c>
      <c r="Q63" s="322">
        <f>SUM(O62:O63)</f>
        <v>5.62E-4</v>
      </c>
      <c r="R63" s="17"/>
      <c r="S63" s="2"/>
      <c r="T63" s="2"/>
    </row>
  </sheetData>
  <mergeCells count="52">
    <mergeCell ref="K48:K49"/>
    <mergeCell ref="L48:L49"/>
    <mergeCell ref="M48:M49"/>
    <mergeCell ref="N48:O48"/>
    <mergeCell ref="F48:F49"/>
    <mergeCell ref="G48:G49"/>
    <mergeCell ref="H48:H49"/>
    <mergeCell ref="I48:I49"/>
    <mergeCell ref="J48:J49"/>
    <mergeCell ref="A48:A49"/>
    <mergeCell ref="B48:B49"/>
    <mergeCell ref="C48:C49"/>
    <mergeCell ref="D48:D49"/>
    <mergeCell ref="E48:E49"/>
    <mergeCell ref="A33:O33"/>
    <mergeCell ref="A35:O35"/>
    <mergeCell ref="A37:O37"/>
    <mergeCell ref="A39:O39"/>
    <mergeCell ref="A47:O47"/>
    <mergeCell ref="A25:O25"/>
    <mergeCell ref="A26:O26"/>
    <mergeCell ref="A28:O28"/>
    <mergeCell ref="A30:O30"/>
    <mergeCell ref="A32:O32"/>
    <mergeCell ref="A17:O17"/>
    <mergeCell ref="A19:O19"/>
    <mergeCell ref="A21:O21"/>
    <mergeCell ref="A23:O23"/>
    <mergeCell ref="A24:O24"/>
    <mergeCell ref="A9:O9"/>
    <mergeCell ref="A11:O11"/>
    <mergeCell ref="A12:O12"/>
    <mergeCell ref="A14:O14"/>
    <mergeCell ref="A15:O15"/>
    <mergeCell ref="A1:O1"/>
    <mergeCell ref="A3:N3"/>
    <mergeCell ref="A4:O4"/>
    <mergeCell ref="A6:O6"/>
    <mergeCell ref="A8:O8"/>
    <mergeCell ref="A51:O51"/>
    <mergeCell ref="A60:O60"/>
    <mergeCell ref="A61:O61"/>
    <mergeCell ref="A62:A63"/>
    <mergeCell ref="A52:O52"/>
    <mergeCell ref="A53:O53"/>
    <mergeCell ref="A54:A55"/>
    <mergeCell ref="A57:O57"/>
    <mergeCell ref="A58:A59"/>
    <mergeCell ref="A56:O56"/>
    <mergeCell ref="B54:B55"/>
    <mergeCell ref="B58:B59"/>
    <mergeCell ref="B62:B63"/>
  </mergeCells>
  <pageMargins left="0.31496062992125984" right="0.31496062992125984" top="0.74803149606299213" bottom="0.74803149606299213" header="0.31496062992125984" footer="0.31496062992125984"/>
  <pageSetup paperSize="9" firstPageNumber="251" orientation="landscape" useFirstPageNumber="1" horizontalDpi="1200" verticalDpi="1200" r:id="rId1"/>
  <headerFoot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F2B7A-5D14-4ABC-A251-FFE5DBCA2B64}">
  <dimension ref="A1:S53"/>
  <sheetViews>
    <sheetView view="pageBreakPreview" zoomScale="115" zoomScaleNormal="100" zoomScaleSheetLayoutView="115" workbookViewId="0">
      <selection activeCell="L41" sqref="L41"/>
    </sheetView>
  </sheetViews>
  <sheetFormatPr defaultRowHeight="12.75" x14ac:dyDescent="0.2"/>
  <cols>
    <col min="1" max="1" width="6.28515625" style="237" customWidth="1"/>
    <col min="2" max="2" width="12.7109375" style="237" customWidth="1"/>
    <col min="3" max="3" width="11.85546875" style="237" customWidth="1"/>
    <col min="4" max="4" width="9.5703125" style="237" customWidth="1"/>
    <col min="5" max="5" width="5.7109375" style="237" customWidth="1"/>
    <col min="6" max="6" width="11" style="381" customWidth="1"/>
    <col min="7" max="7" width="10.28515625" style="381" customWidth="1"/>
    <col min="8" max="8" width="8" style="381" customWidth="1"/>
    <col min="9" max="9" width="9" style="381" customWidth="1"/>
    <col min="10" max="10" width="9.85546875" style="381" customWidth="1"/>
    <col min="11" max="11" width="17.42578125" style="381" customWidth="1"/>
    <col min="12" max="12" width="6.28515625" style="237" customWidth="1"/>
    <col min="13" max="13" width="10.85546875" style="237" customWidth="1"/>
    <col min="14" max="14" width="12" style="237" customWidth="1"/>
    <col min="15" max="15" width="10.42578125" style="237" bestFit="1" customWidth="1"/>
    <col min="16" max="16" width="10.5703125" style="237" customWidth="1"/>
    <col min="17" max="17" width="11.28515625" style="237" bestFit="1" customWidth="1"/>
    <col min="18" max="16384" width="9.140625" style="237"/>
  </cols>
  <sheetData>
    <row r="1" spans="1:14" s="95" customFormat="1" ht="18.75" x14ac:dyDescent="0.3">
      <c r="A1" s="516" t="s">
        <v>408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354"/>
    </row>
    <row r="2" spans="1:14" s="95" customFormat="1" x14ac:dyDescent="0.2">
      <c r="A2" s="355"/>
      <c r="B2" s="355"/>
      <c r="C2" s="355"/>
      <c r="D2" s="355"/>
      <c r="E2" s="355"/>
      <c r="F2" s="356"/>
      <c r="G2" s="356"/>
      <c r="H2" s="356"/>
      <c r="I2" s="356"/>
      <c r="J2" s="356"/>
      <c r="K2" s="356"/>
      <c r="L2" s="354"/>
      <c r="M2" s="354"/>
      <c r="N2" s="354"/>
    </row>
    <row r="3" spans="1:14" s="132" customFormat="1" ht="15.75" x14ac:dyDescent="0.25">
      <c r="A3" s="19" t="s">
        <v>384</v>
      </c>
      <c r="B3" s="19"/>
      <c r="C3" s="19"/>
      <c r="D3" s="19"/>
      <c r="E3" s="19"/>
      <c r="F3" s="385"/>
      <c r="G3" s="385"/>
      <c r="H3" s="385"/>
      <c r="I3" s="385"/>
      <c r="J3" s="385"/>
      <c r="K3" s="385"/>
      <c r="L3" s="19"/>
      <c r="M3" s="19"/>
      <c r="N3" s="19"/>
    </row>
    <row r="4" spans="1:14" s="132" customFormat="1" ht="15.75" x14ac:dyDescent="0.25">
      <c r="A4" s="409" t="s">
        <v>385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</row>
    <row r="5" spans="1:14" s="95" customFormat="1" x14ac:dyDescent="0.2">
      <c r="A5" s="357"/>
      <c r="B5" s="357"/>
      <c r="C5" s="357"/>
      <c r="D5" s="357"/>
      <c r="E5" s="357"/>
      <c r="F5" s="358"/>
      <c r="G5" s="358"/>
      <c r="H5" s="358"/>
      <c r="I5" s="358"/>
      <c r="J5" s="358"/>
      <c r="K5" s="358"/>
      <c r="L5" s="357"/>
      <c r="M5" s="357"/>
      <c r="N5" s="357"/>
    </row>
    <row r="6" spans="1:14" s="132" customFormat="1" ht="15.75" x14ac:dyDescent="0.25">
      <c r="A6" s="406" t="s">
        <v>386</v>
      </c>
      <c r="B6" s="406"/>
      <c r="C6" s="406"/>
      <c r="D6" s="406"/>
      <c r="E6" s="406"/>
      <c r="F6" s="406"/>
      <c r="G6" s="406"/>
      <c r="H6" s="406"/>
      <c r="I6" s="406"/>
      <c r="J6" s="406"/>
      <c r="K6" s="180"/>
    </row>
    <row r="7" spans="1:14" s="132" customFormat="1" ht="8.25" customHeight="1" x14ac:dyDescent="0.25">
      <c r="A7" s="131"/>
      <c r="B7" s="131"/>
      <c r="C7" s="131"/>
      <c r="D7" s="131"/>
      <c r="E7" s="131"/>
      <c r="F7" s="386"/>
      <c r="G7" s="386"/>
      <c r="H7" s="386"/>
      <c r="I7" s="386"/>
      <c r="J7" s="386"/>
      <c r="K7" s="180"/>
    </row>
    <row r="8" spans="1:14" s="132" customFormat="1" ht="15.75" x14ac:dyDescent="0.25">
      <c r="A8" s="515" t="s">
        <v>387</v>
      </c>
      <c r="B8" s="515"/>
      <c r="C8" s="515"/>
      <c r="D8" s="515"/>
      <c r="E8" s="515"/>
      <c r="F8" s="515"/>
      <c r="G8" s="515"/>
      <c r="H8" s="515"/>
      <c r="I8" s="515"/>
      <c r="J8" s="515"/>
      <c r="K8" s="180"/>
    </row>
    <row r="9" spans="1:14" s="132" customFormat="1" ht="9.75" customHeight="1" x14ac:dyDescent="0.25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80"/>
    </row>
    <row r="10" spans="1:14" s="132" customFormat="1" ht="15.75" x14ac:dyDescent="0.25">
      <c r="A10" s="515" t="s">
        <v>388</v>
      </c>
      <c r="B10" s="515"/>
      <c r="C10" s="515"/>
      <c r="D10" s="515"/>
      <c r="E10" s="515"/>
      <c r="F10" s="515"/>
      <c r="G10" s="515"/>
      <c r="H10" s="515"/>
      <c r="I10" s="515"/>
      <c r="J10" s="515"/>
      <c r="K10" s="180"/>
    </row>
    <row r="11" spans="1:14" s="132" customFormat="1" ht="15.75" x14ac:dyDescent="0.25">
      <c r="A11" s="131" t="s">
        <v>415</v>
      </c>
      <c r="B11" s="131"/>
      <c r="C11" s="131"/>
      <c r="D11" s="131"/>
      <c r="E11" s="131"/>
      <c r="F11" s="386"/>
      <c r="G11" s="386"/>
      <c r="H11" s="386"/>
      <c r="I11" s="386"/>
      <c r="J11" s="386"/>
      <c r="K11" s="180"/>
    </row>
    <row r="12" spans="1:14" s="132" customFormat="1" ht="31.5" customHeight="1" x14ac:dyDescent="0.25">
      <c r="A12" s="409" t="s">
        <v>416</v>
      </c>
      <c r="B12" s="409"/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09"/>
      <c r="N12" s="409"/>
    </row>
    <row r="13" spans="1:14" s="132" customFormat="1" ht="12.75" customHeight="1" x14ac:dyDescent="0.25">
      <c r="A13" s="406" t="s">
        <v>389</v>
      </c>
      <c r="B13" s="406"/>
      <c r="C13" s="406"/>
      <c r="D13" s="406"/>
      <c r="E13" s="406"/>
      <c r="F13" s="406"/>
      <c r="G13" s="406"/>
      <c r="H13" s="406"/>
      <c r="I13" s="406"/>
      <c r="J13" s="406"/>
      <c r="K13" s="180"/>
    </row>
    <row r="14" spans="1:14" s="132" customFormat="1" ht="13.5" customHeight="1" x14ac:dyDescent="0.25">
      <c r="A14" s="406" t="s">
        <v>417</v>
      </c>
      <c r="B14" s="406"/>
      <c r="C14" s="406"/>
      <c r="D14" s="406"/>
      <c r="E14" s="406"/>
      <c r="F14" s="406"/>
      <c r="G14" s="406"/>
      <c r="H14" s="406"/>
      <c r="I14" s="406"/>
      <c r="J14" s="406"/>
      <c r="K14" s="180"/>
    </row>
    <row r="15" spans="1:14" s="132" customFormat="1" ht="13.5" customHeight="1" x14ac:dyDescent="0.25">
      <c r="A15" s="406" t="s">
        <v>390</v>
      </c>
      <c r="B15" s="406"/>
      <c r="C15" s="406"/>
      <c r="D15" s="406"/>
      <c r="E15" s="406"/>
      <c r="F15" s="406"/>
      <c r="G15" s="406"/>
      <c r="H15" s="406"/>
      <c r="I15" s="406"/>
      <c r="J15" s="406"/>
      <c r="K15" s="180"/>
    </row>
    <row r="16" spans="1:14" s="387" customFormat="1" ht="13.5" customHeight="1" x14ac:dyDescent="0.35">
      <c r="A16" s="387" t="s">
        <v>418</v>
      </c>
      <c r="C16" s="388"/>
      <c r="D16" s="388"/>
      <c r="E16" s="388"/>
      <c r="F16" s="389"/>
      <c r="G16" s="180"/>
      <c r="H16" s="180"/>
      <c r="I16" s="180"/>
      <c r="J16" s="180"/>
      <c r="K16" s="180"/>
    </row>
    <row r="17" spans="1:19" s="387" customFormat="1" ht="13.5" customHeight="1" x14ac:dyDescent="0.25">
      <c r="C17" s="388"/>
      <c r="D17" s="388"/>
      <c r="E17" s="388"/>
      <c r="F17" s="389"/>
      <c r="G17" s="180"/>
      <c r="H17" s="180"/>
      <c r="I17" s="180"/>
      <c r="J17" s="180"/>
      <c r="K17" s="180"/>
    </row>
    <row r="18" spans="1:19" s="391" customFormat="1" ht="20.25" customHeight="1" x14ac:dyDescent="0.3">
      <c r="A18" s="514" t="s">
        <v>419</v>
      </c>
      <c r="B18" s="514"/>
      <c r="C18" s="514"/>
      <c r="D18" s="514"/>
      <c r="E18" s="514"/>
      <c r="F18" s="514"/>
      <c r="G18" s="514"/>
      <c r="H18" s="514"/>
      <c r="I18" s="514"/>
      <c r="J18" s="514"/>
      <c r="K18" s="514"/>
      <c r="L18" s="514"/>
      <c r="M18" s="514"/>
      <c r="N18" s="514"/>
    </row>
    <row r="19" spans="1:19" s="391" customFormat="1" ht="11.25" customHeight="1" x14ac:dyDescent="0.3">
      <c r="A19" s="390"/>
      <c r="B19" s="390"/>
      <c r="C19" s="390"/>
      <c r="D19" s="390"/>
      <c r="E19" s="390"/>
      <c r="F19" s="390"/>
      <c r="G19" s="390"/>
      <c r="H19" s="390"/>
      <c r="I19" s="390"/>
      <c r="J19" s="390"/>
      <c r="K19" s="390"/>
      <c r="L19" s="390"/>
      <c r="M19" s="390"/>
      <c r="N19" s="390"/>
    </row>
    <row r="20" spans="1:19" s="387" customFormat="1" ht="15.75" x14ac:dyDescent="0.25">
      <c r="A20" s="387" t="s">
        <v>409</v>
      </c>
      <c r="C20" s="388"/>
      <c r="D20" s="388"/>
      <c r="E20" s="388"/>
      <c r="F20" s="389"/>
      <c r="G20" s="180"/>
      <c r="H20" s="180"/>
      <c r="I20" s="180"/>
      <c r="J20" s="180"/>
      <c r="K20" s="180"/>
    </row>
    <row r="21" spans="1:19" s="293" customFormat="1" ht="17.25" customHeight="1" x14ac:dyDescent="0.25">
      <c r="A21" s="418" t="s">
        <v>327</v>
      </c>
      <c r="B21" s="418" t="s">
        <v>391</v>
      </c>
      <c r="C21" s="418" t="s">
        <v>392</v>
      </c>
      <c r="D21" s="418" t="s">
        <v>393</v>
      </c>
      <c r="E21" s="512" t="s">
        <v>394</v>
      </c>
      <c r="F21" s="513"/>
      <c r="G21" s="507" t="s">
        <v>395</v>
      </c>
      <c r="H21" s="507" t="s">
        <v>396</v>
      </c>
      <c r="I21" s="509" t="s">
        <v>397</v>
      </c>
      <c r="J21" s="510"/>
      <c r="K21" s="359" t="s">
        <v>106</v>
      </c>
      <c r="L21" s="418" t="s">
        <v>66</v>
      </c>
      <c r="M21" s="512" t="s">
        <v>398</v>
      </c>
      <c r="N21" s="513"/>
    </row>
    <row r="22" spans="1:19" s="293" customFormat="1" ht="38.25" customHeight="1" x14ac:dyDescent="0.25">
      <c r="A22" s="511"/>
      <c r="B22" s="511"/>
      <c r="C22" s="511"/>
      <c r="D22" s="511"/>
      <c r="E22" s="335" t="s">
        <v>399</v>
      </c>
      <c r="F22" s="359" t="s">
        <v>400</v>
      </c>
      <c r="G22" s="508"/>
      <c r="H22" s="508"/>
      <c r="I22" s="359" t="s">
        <v>401</v>
      </c>
      <c r="J22" s="359" t="s">
        <v>402</v>
      </c>
      <c r="K22" s="360"/>
      <c r="L22" s="511"/>
      <c r="M22" s="335" t="s">
        <v>107</v>
      </c>
      <c r="N22" s="335" t="s">
        <v>108</v>
      </c>
      <c r="O22" s="392"/>
    </row>
    <row r="23" spans="1:19" s="293" customFormat="1" ht="15.95" customHeight="1" x14ac:dyDescent="0.2">
      <c r="A23" s="287">
        <v>1</v>
      </c>
      <c r="B23" s="287">
        <v>2</v>
      </c>
      <c r="C23" s="287">
        <v>3</v>
      </c>
      <c r="D23" s="287">
        <v>4</v>
      </c>
      <c r="E23" s="287">
        <v>5</v>
      </c>
      <c r="F23" s="361">
        <v>6</v>
      </c>
      <c r="G23" s="361">
        <v>7</v>
      </c>
      <c r="H23" s="361">
        <v>8</v>
      </c>
      <c r="I23" s="361">
        <v>9</v>
      </c>
      <c r="J23" s="361">
        <v>10</v>
      </c>
      <c r="K23" s="361">
        <v>11</v>
      </c>
      <c r="L23" s="287">
        <v>12</v>
      </c>
      <c r="M23" s="287">
        <v>13</v>
      </c>
      <c r="N23" s="287">
        <v>14</v>
      </c>
      <c r="O23" s="393"/>
    </row>
    <row r="24" spans="1:19" customFormat="1" ht="15.95" customHeight="1" x14ac:dyDescent="0.25">
      <c r="A24" s="490" t="s">
        <v>17</v>
      </c>
      <c r="B24" s="491"/>
      <c r="C24" s="491"/>
      <c r="D24" s="491"/>
      <c r="E24" s="491"/>
      <c r="F24" s="491"/>
      <c r="G24" s="491"/>
      <c r="H24" s="491"/>
      <c r="I24" s="491"/>
      <c r="J24" s="491"/>
      <c r="K24" s="491"/>
      <c r="L24" s="491"/>
      <c r="M24" s="491"/>
      <c r="N24" s="491"/>
      <c r="O24" s="1"/>
      <c r="P24" s="2"/>
      <c r="Q24" s="2"/>
      <c r="R24" s="2"/>
      <c r="S24" s="2"/>
    </row>
    <row r="25" spans="1:19" customFormat="1" ht="15.95" customHeight="1" x14ac:dyDescent="0.25">
      <c r="A25" s="490" t="s">
        <v>20</v>
      </c>
      <c r="B25" s="491"/>
      <c r="C25" s="491"/>
      <c r="D25" s="491"/>
      <c r="E25" s="491"/>
      <c r="F25" s="491"/>
      <c r="G25" s="491"/>
      <c r="H25" s="491"/>
      <c r="I25" s="491"/>
      <c r="J25" s="491"/>
      <c r="K25" s="491"/>
      <c r="L25" s="491"/>
      <c r="M25" s="491"/>
      <c r="N25" s="491"/>
      <c r="O25" s="1"/>
      <c r="P25" s="1"/>
      <c r="Q25" s="1"/>
      <c r="R25" s="1"/>
      <c r="S25" s="1"/>
    </row>
    <row r="26" spans="1:19" s="293" customFormat="1" ht="15" customHeight="1" x14ac:dyDescent="0.2">
      <c r="A26" s="363" t="s">
        <v>406</v>
      </c>
      <c r="B26" s="433" t="s">
        <v>109</v>
      </c>
      <c r="C26" s="364" t="s">
        <v>110</v>
      </c>
      <c r="D26" s="364" t="s">
        <v>155</v>
      </c>
      <c r="E26" s="364">
        <v>1</v>
      </c>
      <c r="F26" s="364">
        <v>1</v>
      </c>
      <c r="G26" s="364">
        <v>30</v>
      </c>
      <c r="H26" s="364">
        <v>0.5</v>
      </c>
      <c r="I26" s="365">
        <v>7.2</v>
      </c>
      <c r="J26" s="365">
        <v>30</v>
      </c>
      <c r="K26" s="366" t="s">
        <v>171</v>
      </c>
      <c r="L26" s="367" t="s">
        <v>104</v>
      </c>
      <c r="M26" s="336">
        <f>ROUND((F26*(I26*G26/3600)),4)</f>
        <v>0.06</v>
      </c>
      <c r="N26" s="336">
        <f>ROUND((E26*(J26*H26/1000)),4)</f>
        <v>1.4999999999999999E-2</v>
      </c>
      <c r="O26" s="393"/>
    </row>
    <row r="27" spans="1:19" s="95" customFormat="1" ht="15" customHeight="1" x14ac:dyDescent="0.2">
      <c r="A27" s="318"/>
      <c r="B27" s="506"/>
      <c r="C27" s="368"/>
      <c r="D27" s="368"/>
      <c r="E27" s="368"/>
      <c r="F27" s="369"/>
      <c r="G27" s="369"/>
      <c r="H27" s="369"/>
      <c r="I27" s="369">
        <v>10.3</v>
      </c>
      <c r="J27" s="369">
        <v>43</v>
      </c>
      <c r="K27" s="370" t="s">
        <v>111</v>
      </c>
      <c r="L27" s="371" t="s">
        <v>95</v>
      </c>
      <c r="M27" s="362">
        <f>ROUND(((F26*(I27*G26/3600))*0.8),4)</f>
        <v>6.8699999999999997E-2</v>
      </c>
      <c r="N27" s="362">
        <f>ROUND(((E26*(J27*H26/1000))*0.8),4)</f>
        <v>1.72E-2</v>
      </c>
      <c r="O27" s="393"/>
      <c r="Q27" s="354"/>
    </row>
    <row r="28" spans="1:19" s="95" customFormat="1" ht="15" customHeight="1" x14ac:dyDescent="0.2">
      <c r="A28" s="368"/>
      <c r="B28" s="506"/>
      <c r="C28" s="368"/>
      <c r="D28" s="368"/>
      <c r="E28" s="368"/>
      <c r="F28" s="369"/>
      <c r="G28" s="369"/>
      <c r="H28" s="369"/>
      <c r="I28" s="369"/>
      <c r="J28" s="369"/>
      <c r="K28" s="370" t="s">
        <v>112</v>
      </c>
      <c r="L28" s="371" t="s">
        <v>113</v>
      </c>
      <c r="M28" s="362">
        <f>ROUND(((F26*(I27*G26/3600))*0.13),4)</f>
        <v>1.12E-2</v>
      </c>
      <c r="N28" s="362">
        <f>ROUND(((E26*(J27*H26/1000))*0.13),4)</f>
        <v>2.8E-3</v>
      </c>
      <c r="O28" s="393"/>
    </row>
    <row r="29" spans="1:19" s="95" customFormat="1" ht="15" customHeight="1" x14ac:dyDescent="0.2">
      <c r="A29" s="368"/>
      <c r="B29" s="368"/>
      <c r="C29" s="368"/>
      <c r="D29" s="368"/>
      <c r="E29" s="368"/>
      <c r="F29" s="369"/>
      <c r="G29" s="369"/>
      <c r="H29" s="369"/>
      <c r="I29" s="372">
        <v>3.6</v>
      </c>
      <c r="J29" s="372">
        <v>15</v>
      </c>
      <c r="K29" s="373" t="s">
        <v>116</v>
      </c>
      <c r="L29" s="374">
        <v>2754</v>
      </c>
      <c r="M29" s="362">
        <f>ROUND((F26*(I29*G26/3600)),4)</f>
        <v>0.03</v>
      </c>
      <c r="N29" s="362">
        <f>ROUND(((E26*(J29*H26/1000))),4)</f>
        <v>7.4999999999999997E-3</v>
      </c>
      <c r="O29" s="393"/>
    </row>
    <row r="30" spans="1:19" s="95" customFormat="1" ht="15" customHeight="1" x14ac:dyDescent="0.2">
      <c r="A30" s="368"/>
      <c r="B30" s="368"/>
      <c r="C30" s="368"/>
      <c r="D30" s="368"/>
      <c r="E30" s="368"/>
      <c r="F30" s="369"/>
      <c r="G30" s="369"/>
      <c r="H30" s="369"/>
      <c r="I30" s="372">
        <v>0.7</v>
      </c>
      <c r="J30" s="372">
        <v>3</v>
      </c>
      <c r="K30" s="375" t="s">
        <v>403</v>
      </c>
      <c r="L30" s="374" t="s">
        <v>119</v>
      </c>
      <c r="M30" s="362">
        <f>ROUND((F26*(I30*G26/3600)),4)</f>
        <v>5.7999999999999996E-3</v>
      </c>
      <c r="N30" s="362">
        <f>ROUND(((E26*(J30*H26/1000))),4)</f>
        <v>1.5E-3</v>
      </c>
      <c r="O30" s="393"/>
    </row>
    <row r="31" spans="1:19" s="95" customFormat="1" ht="15" customHeight="1" x14ac:dyDescent="0.2">
      <c r="A31" s="368"/>
      <c r="B31" s="368"/>
      <c r="C31" s="368"/>
      <c r="D31" s="368"/>
      <c r="E31" s="368"/>
      <c r="F31" s="369"/>
      <c r="G31" s="369"/>
      <c r="H31" s="369"/>
      <c r="I31" s="372">
        <v>1.1000000000000001</v>
      </c>
      <c r="J31" s="372">
        <v>4.5</v>
      </c>
      <c r="K31" s="375" t="s">
        <v>114</v>
      </c>
      <c r="L31" s="374" t="s">
        <v>115</v>
      </c>
      <c r="M31" s="362">
        <f>ROUND((F26*(I31*G26/3600)),4)</f>
        <v>9.1999999999999998E-3</v>
      </c>
      <c r="N31" s="362">
        <f>ROUND(((E26*(J31*H26/1000))),4)</f>
        <v>2.3E-3</v>
      </c>
    </row>
    <row r="32" spans="1:19" s="95" customFormat="1" ht="15" customHeight="1" x14ac:dyDescent="0.2">
      <c r="A32" s="368"/>
      <c r="B32" s="368"/>
      <c r="C32" s="368"/>
      <c r="D32" s="368"/>
      <c r="E32" s="368"/>
      <c r="F32" s="369"/>
      <c r="G32" s="369"/>
      <c r="H32" s="369"/>
      <c r="I32" s="376">
        <v>0.15</v>
      </c>
      <c r="J32" s="376">
        <v>0.6</v>
      </c>
      <c r="K32" s="375" t="s">
        <v>117</v>
      </c>
      <c r="L32" s="374" t="s">
        <v>118</v>
      </c>
      <c r="M32" s="362">
        <f>ROUND((F26*(I32*G26/3600)),4)</f>
        <v>1.2999999999999999E-3</v>
      </c>
      <c r="N32" s="362">
        <f>ROUND(((E26*(J32*H26/1000))),5)</f>
        <v>2.9999999999999997E-4</v>
      </c>
    </row>
    <row r="33" spans="1:19" s="95" customFormat="1" ht="15" customHeight="1" x14ac:dyDescent="0.2">
      <c r="A33" s="377"/>
      <c r="B33" s="377"/>
      <c r="C33" s="377"/>
      <c r="D33" s="378"/>
      <c r="E33" s="377"/>
      <c r="F33" s="379"/>
      <c r="G33" s="379"/>
      <c r="H33" s="379"/>
      <c r="I33" s="372">
        <v>1.2999999999999999E-5</v>
      </c>
      <c r="J33" s="372">
        <v>5.5000000000000002E-5</v>
      </c>
      <c r="K33" s="375" t="s">
        <v>404</v>
      </c>
      <c r="L33" s="374" t="s">
        <v>405</v>
      </c>
      <c r="M33" s="362">
        <f>ROUND((F26*(I33*G26/3600)),7)</f>
        <v>9.9999999999999995E-8</v>
      </c>
      <c r="N33" s="362">
        <f>ROUND(((E26*(J33*H26/1000))),8)</f>
        <v>2.9999999999999997E-8</v>
      </c>
      <c r="O33" s="95">
        <f>SUM(M26:M33)</f>
        <v>0.18620009999999995</v>
      </c>
      <c r="P33" s="95">
        <f>SUM(N26:N33)</f>
        <v>4.6600029999999994E-2</v>
      </c>
    </row>
    <row r="34" spans="1:19" customFormat="1" ht="15.95" customHeight="1" x14ac:dyDescent="0.25">
      <c r="A34" s="490" t="s">
        <v>21</v>
      </c>
      <c r="B34" s="491"/>
      <c r="C34" s="491"/>
      <c r="D34" s="491"/>
      <c r="E34" s="491"/>
      <c r="F34" s="491"/>
      <c r="G34" s="491"/>
      <c r="H34" s="491"/>
      <c r="I34" s="491"/>
      <c r="J34" s="491"/>
      <c r="K34" s="491"/>
      <c r="L34" s="491"/>
      <c r="M34" s="491"/>
      <c r="N34" s="491"/>
      <c r="O34" s="1"/>
      <c r="P34" s="2"/>
      <c r="Q34" s="2"/>
      <c r="R34" s="2"/>
      <c r="S34" s="2"/>
    </row>
    <row r="35" spans="1:19" customFormat="1" ht="15.95" customHeight="1" x14ac:dyDescent="0.25">
      <c r="A35" s="490" t="s">
        <v>20</v>
      </c>
      <c r="B35" s="491"/>
      <c r="C35" s="491"/>
      <c r="D35" s="491"/>
      <c r="E35" s="491"/>
      <c r="F35" s="491"/>
      <c r="G35" s="491"/>
      <c r="H35" s="491"/>
      <c r="I35" s="491"/>
      <c r="J35" s="491"/>
      <c r="K35" s="491"/>
      <c r="L35" s="491"/>
      <c r="M35" s="491"/>
      <c r="N35" s="491"/>
      <c r="O35" s="1"/>
      <c r="P35" s="1"/>
      <c r="Q35" s="1"/>
      <c r="R35" s="1"/>
      <c r="S35" s="1"/>
    </row>
    <row r="36" spans="1:19" s="293" customFormat="1" ht="15.95" customHeight="1" x14ac:dyDescent="0.2">
      <c r="A36" s="380" t="s">
        <v>407</v>
      </c>
      <c r="B36" s="433" t="s">
        <v>120</v>
      </c>
      <c r="C36" s="364" t="s">
        <v>110</v>
      </c>
      <c r="D36" s="364" t="s">
        <v>155</v>
      </c>
      <c r="E36" s="364">
        <v>1</v>
      </c>
      <c r="F36" s="364">
        <v>1</v>
      </c>
      <c r="G36" s="364">
        <v>50</v>
      </c>
      <c r="H36" s="317">
        <v>2.4900000000000002</v>
      </c>
      <c r="I36" s="361">
        <v>7.2</v>
      </c>
      <c r="J36" s="361">
        <v>30</v>
      </c>
      <c r="K36" s="366" t="s">
        <v>171</v>
      </c>
      <c r="L36" s="291" t="s">
        <v>104</v>
      </c>
      <c r="M36" s="287">
        <f>ROUND((F36*(I36*G36/3600)),4)</f>
        <v>0.1</v>
      </c>
      <c r="N36" s="287">
        <f>ROUND((E36*(J36*H36/1000)),4)</f>
        <v>7.4700000000000003E-2</v>
      </c>
    </row>
    <row r="37" spans="1:19" s="95" customFormat="1" ht="15.95" customHeight="1" x14ac:dyDescent="0.2">
      <c r="A37" s="318"/>
      <c r="B37" s="506"/>
      <c r="C37" s="368"/>
      <c r="D37" s="368"/>
      <c r="E37" s="368"/>
      <c r="F37" s="369"/>
      <c r="G37" s="369"/>
      <c r="H37" s="369"/>
      <c r="I37" s="369">
        <v>10.3</v>
      </c>
      <c r="J37" s="369">
        <v>43</v>
      </c>
      <c r="K37" s="370" t="s">
        <v>111</v>
      </c>
      <c r="L37" s="371" t="s">
        <v>95</v>
      </c>
      <c r="M37" s="362">
        <f>ROUND(((F36*(I37*G36/3600))*0.8),4)</f>
        <v>0.1144</v>
      </c>
      <c r="N37" s="362">
        <f>ROUND(((E36*(J37*H36/1000))*0.8),4)</f>
        <v>8.5699999999999998E-2</v>
      </c>
      <c r="Q37" s="354"/>
    </row>
    <row r="38" spans="1:19" s="95" customFormat="1" ht="15.95" customHeight="1" x14ac:dyDescent="0.2">
      <c r="A38" s="368"/>
      <c r="B38" s="506"/>
      <c r="C38" s="368"/>
      <c r="D38" s="368"/>
      <c r="E38" s="368"/>
      <c r="F38" s="369"/>
      <c r="G38" s="369"/>
      <c r="H38" s="369"/>
      <c r="I38" s="369"/>
      <c r="J38" s="369"/>
      <c r="K38" s="370" t="s">
        <v>112</v>
      </c>
      <c r="L38" s="371" t="s">
        <v>113</v>
      </c>
      <c r="M38" s="362">
        <f>ROUND(((F36*(I37*G36/3600))*0.13),4)</f>
        <v>1.8599999999999998E-2</v>
      </c>
      <c r="N38" s="362">
        <f>ROUND(((E36*(J37*H36/1000))*0.13),4)</f>
        <v>1.3899999999999999E-2</v>
      </c>
    </row>
    <row r="39" spans="1:19" s="95" customFormat="1" ht="15.95" customHeight="1" x14ac:dyDescent="0.2">
      <c r="A39" s="368"/>
      <c r="B39" s="368"/>
      <c r="C39" s="368"/>
      <c r="D39" s="368"/>
      <c r="E39" s="368"/>
      <c r="F39" s="369"/>
      <c r="G39" s="369"/>
      <c r="H39" s="369"/>
      <c r="I39" s="372">
        <v>3.6</v>
      </c>
      <c r="J39" s="372">
        <v>15</v>
      </c>
      <c r="K39" s="373" t="s">
        <v>116</v>
      </c>
      <c r="L39" s="374">
        <v>2754</v>
      </c>
      <c r="M39" s="362">
        <f>ROUND((F36*(I39*G36/3600)),4)</f>
        <v>0.05</v>
      </c>
      <c r="N39" s="362">
        <f>ROUND(((E36*(J39*H36/1000))),4)</f>
        <v>3.7400000000000003E-2</v>
      </c>
    </row>
    <row r="40" spans="1:19" s="95" customFormat="1" ht="15.95" customHeight="1" x14ac:dyDescent="0.2">
      <c r="A40" s="368"/>
      <c r="B40" s="368"/>
      <c r="C40" s="368"/>
      <c r="D40" s="368"/>
      <c r="E40" s="368"/>
      <c r="F40" s="369"/>
      <c r="G40" s="369"/>
      <c r="H40" s="369"/>
      <c r="I40" s="372">
        <v>0.7</v>
      </c>
      <c r="J40" s="372">
        <v>3</v>
      </c>
      <c r="K40" s="375" t="s">
        <v>403</v>
      </c>
      <c r="L40" s="374" t="s">
        <v>119</v>
      </c>
      <c r="M40" s="362">
        <f>ROUND((F36*(I40*G36/3600)),4)</f>
        <v>9.7000000000000003E-3</v>
      </c>
      <c r="N40" s="362">
        <f>ROUND(((E36*(J40*H36/1000))),4)</f>
        <v>7.4999999999999997E-3</v>
      </c>
    </row>
    <row r="41" spans="1:19" s="95" customFormat="1" ht="15.95" customHeight="1" x14ac:dyDescent="0.2">
      <c r="A41" s="368"/>
      <c r="B41" s="368"/>
      <c r="C41" s="368"/>
      <c r="D41" s="368"/>
      <c r="E41" s="368"/>
      <c r="F41" s="369"/>
      <c r="G41" s="369"/>
      <c r="H41" s="369"/>
      <c r="I41" s="372">
        <v>1.1000000000000001</v>
      </c>
      <c r="J41" s="372">
        <v>4.5</v>
      </c>
      <c r="K41" s="375" t="s">
        <v>114</v>
      </c>
      <c r="L41" s="374" t="s">
        <v>115</v>
      </c>
      <c r="M41" s="362">
        <f>ROUND((F36*(I41*G36/3600)),4)</f>
        <v>1.5299999999999999E-2</v>
      </c>
      <c r="N41" s="362">
        <f>ROUND(((E36*(J41*H36/1000))),4)</f>
        <v>1.12E-2</v>
      </c>
    </row>
    <row r="42" spans="1:19" s="95" customFormat="1" ht="15.95" customHeight="1" x14ac:dyDescent="0.2">
      <c r="A42" s="368"/>
      <c r="B42" s="368"/>
      <c r="C42" s="368"/>
      <c r="D42" s="368"/>
      <c r="E42" s="368"/>
      <c r="F42" s="369"/>
      <c r="G42" s="369"/>
      <c r="H42" s="369"/>
      <c r="I42" s="376">
        <v>0.15</v>
      </c>
      <c r="J42" s="376">
        <v>0.6</v>
      </c>
      <c r="K42" s="375" t="s">
        <v>117</v>
      </c>
      <c r="L42" s="374" t="s">
        <v>118</v>
      </c>
      <c r="M42" s="362">
        <f>ROUND((F36*(I42*G36/3600)),4)</f>
        <v>2.0999999999999999E-3</v>
      </c>
      <c r="N42" s="362">
        <f>ROUND(((E36*(J42*H36/1000))),5)</f>
        <v>1.49E-3</v>
      </c>
    </row>
    <row r="43" spans="1:19" s="95" customFormat="1" ht="15.95" customHeight="1" x14ac:dyDescent="0.2">
      <c r="A43" s="377"/>
      <c r="B43" s="377"/>
      <c r="C43" s="377"/>
      <c r="D43" s="378"/>
      <c r="E43" s="377"/>
      <c r="F43" s="379"/>
      <c r="G43" s="379"/>
      <c r="H43" s="379"/>
      <c r="I43" s="372">
        <v>1.2999999999999999E-5</v>
      </c>
      <c r="J43" s="372">
        <v>5.5000000000000002E-5</v>
      </c>
      <c r="K43" s="375" t="s">
        <v>404</v>
      </c>
      <c r="L43" s="374" t="s">
        <v>405</v>
      </c>
      <c r="M43" s="362">
        <f>ROUND((F36*(I43*G36/3600)),7)</f>
        <v>1.9999999999999999E-7</v>
      </c>
      <c r="N43" s="362">
        <f>ROUND(((E36*(J43*H36/1000))),7)</f>
        <v>9.9999999999999995E-8</v>
      </c>
      <c r="O43" s="95">
        <f>SUM(M36:M43)</f>
        <v>0.31010019999999999</v>
      </c>
      <c r="P43" s="95">
        <f>SUM(N36:N43)</f>
        <v>0.23189009999999999</v>
      </c>
    </row>
    <row r="44" spans="1:19" customFormat="1" ht="15.95" customHeight="1" x14ac:dyDescent="0.25">
      <c r="A44" s="490" t="s">
        <v>22</v>
      </c>
      <c r="B44" s="491"/>
      <c r="C44" s="491"/>
      <c r="D44" s="491"/>
      <c r="E44" s="491"/>
      <c r="F44" s="491"/>
      <c r="G44" s="491"/>
      <c r="H44" s="491"/>
      <c r="I44" s="491"/>
      <c r="J44" s="491"/>
      <c r="K44" s="491"/>
      <c r="L44" s="491"/>
      <c r="M44" s="491"/>
      <c r="N44" s="491"/>
      <c r="O44" s="1"/>
      <c r="P44" s="2"/>
      <c r="Q44" s="2"/>
      <c r="R44" s="2"/>
      <c r="S44" s="2"/>
    </row>
    <row r="45" spans="1:19" customFormat="1" ht="15.95" customHeight="1" x14ac:dyDescent="0.25">
      <c r="A45" s="490" t="s">
        <v>20</v>
      </c>
      <c r="B45" s="491"/>
      <c r="C45" s="491"/>
      <c r="D45" s="491"/>
      <c r="E45" s="491"/>
      <c r="F45" s="491"/>
      <c r="G45" s="491"/>
      <c r="H45" s="491"/>
      <c r="I45" s="491"/>
      <c r="J45" s="491"/>
      <c r="K45" s="491"/>
      <c r="L45" s="491"/>
      <c r="M45" s="491"/>
      <c r="N45" s="491"/>
      <c r="O45" s="1"/>
      <c r="P45" s="1"/>
      <c r="Q45" s="1"/>
      <c r="R45" s="1"/>
      <c r="S45" s="1"/>
    </row>
    <row r="46" spans="1:19" s="293" customFormat="1" ht="15.95" customHeight="1" x14ac:dyDescent="0.2">
      <c r="A46" s="363" t="s">
        <v>406</v>
      </c>
      <c r="B46" s="433" t="s">
        <v>109</v>
      </c>
      <c r="C46" s="364" t="s">
        <v>110</v>
      </c>
      <c r="D46" s="364" t="s">
        <v>155</v>
      </c>
      <c r="E46" s="364">
        <v>1</v>
      </c>
      <c r="F46" s="364">
        <v>1</v>
      </c>
      <c r="G46" s="364">
        <v>30</v>
      </c>
      <c r="H46" s="364">
        <v>0.5</v>
      </c>
      <c r="I46" s="365">
        <v>7.2</v>
      </c>
      <c r="J46" s="365">
        <v>30</v>
      </c>
      <c r="K46" s="366" t="s">
        <v>171</v>
      </c>
      <c r="L46" s="367" t="s">
        <v>104</v>
      </c>
      <c r="M46" s="336">
        <f>ROUND((F46*(I46*G46/3600)),4)</f>
        <v>0.06</v>
      </c>
      <c r="N46" s="336">
        <f>ROUND((E46*(J46*H46/1000)),4)</f>
        <v>1.4999999999999999E-2</v>
      </c>
      <c r="O46" s="393"/>
    </row>
    <row r="47" spans="1:19" s="95" customFormat="1" ht="15.95" customHeight="1" x14ac:dyDescent="0.2">
      <c r="A47" s="318"/>
      <c r="B47" s="506"/>
      <c r="C47" s="368"/>
      <c r="D47" s="368"/>
      <c r="E47" s="368"/>
      <c r="F47" s="369"/>
      <c r="G47" s="369"/>
      <c r="H47" s="369"/>
      <c r="I47" s="369">
        <v>10.3</v>
      </c>
      <c r="J47" s="369">
        <v>43</v>
      </c>
      <c r="K47" s="370" t="s">
        <v>111</v>
      </c>
      <c r="L47" s="371" t="s">
        <v>95</v>
      </c>
      <c r="M47" s="362">
        <f>ROUND(((F46*(I47*G46/3600))*0.8),4)</f>
        <v>6.8699999999999997E-2</v>
      </c>
      <c r="N47" s="362">
        <f>ROUND(((E46*(J47*H46/1000))*0.8),4)</f>
        <v>1.72E-2</v>
      </c>
      <c r="O47" s="393"/>
      <c r="Q47" s="354"/>
    </row>
    <row r="48" spans="1:19" s="95" customFormat="1" ht="15.95" customHeight="1" x14ac:dyDescent="0.2">
      <c r="A48" s="368"/>
      <c r="B48" s="506"/>
      <c r="C48" s="368"/>
      <c r="D48" s="368"/>
      <c r="E48" s="368"/>
      <c r="F48" s="369"/>
      <c r="G48" s="369"/>
      <c r="H48" s="369"/>
      <c r="I48" s="369"/>
      <c r="J48" s="369"/>
      <c r="K48" s="370" t="s">
        <v>112</v>
      </c>
      <c r="L48" s="371" t="s">
        <v>113</v>
      </c>
      <c r="M48" s="362">
        <f>ROUND(((F46*(I47*G46/3600))*0.13),4)</f>
        <v>1.12E-2</v>
      </c>
      <c r="N48" s="362">
        <f>ROUND(((E46*(J47*H46/1000))*0.13),4)</f>
        <v>2.8E-3</v>
      </c>
      <c r="O48" s="393"/>
    </row>
    <row r="49" spans="1:16" s="95" customFormat="1" ht="15.95" customHeight="1" x14ac:dyDescent="0.2">
      <c r="A49" s="368"/>
      <c r="B49" s="368"/>
      <c r="C49" s="368"/>
      <c r="D49" s="368"/>
      <c r="E49" s="368"/>
      <c r="F49" s="369"/>
      <c r="G49" s="369"/>
      <c r="H49" s="369"/>
      <c r="I49" s="372">
        <v>3.6</v>
      </c>
      <c r="J49" s="372">
        <v>15</v>
      </c>
      <c r="K49" s="373" t="s">
        <v>116</v>
      </c>
      <c r="L49" s="374">
        <v>2754</v>
      </c>
      <c r="M49" s="362">
        <f>ROUND((F46*(I49*G46/3600)),4)</f>
        <v>0.03</v>
      </c>
      <c r="N49" s="362">
        <f>ROUND(((E46*(J49*H46/1000))),4)</f>
        <v>7.4999999999999997E-3</v>
      </c>
      <c r="O49" s="393"/>
    </row>
    <row r="50" spans="1:16" s="95" customFormat="1" ht="15.95" customHeight="1" x14ac:dyDescent="0.2">
      <c r="A50" s="368"/>
      <c r="B50" s="368"/>
      <c r="C50" s="368"/>
      <c r="D50" s="368"/>
      <c r="E50" s="368"/>
      <c r="F50" s="369"/>
      <c r="G50" s="369"/>
      <c r="H50" s="369"/>
      <c r="I50" s="372">
        <v>0.7</v>
      </c>
      <c r="J50" s="372">
        <v>3</v>
      </c>
      <c r="K50" s="375" t="s">
        <v>403</v>
      </c>
      <c r="L50" s="374" t="s">
        <v>119</v>
      </c>
      <c r="M50" s="362">
        <f>ROUND((F46*(I50*G46/3600)),4)</f>
        <v>5.7999999999999996E-3</v>
      </c>
      <c r="N50" s="362">
        <f>ROUND(((E46*(J50*H46/1000))),4)</f>
        <v>1.5E-3</v>
      </c>
      <c r="O50" s="393"/>
    </row>
    <row r="51" spans="1:16" s="95" customFormat="1" ht="15.95" customHeight="1" x14ac:dyDescent="0.2">
      <c r="A51" s="368"/>
      <c r="B51" s="368"/>
      <c r="C51" s="368"/>
      <c r="D51" s="368"/>
      <c r="E51" s="368"/>
      <c r="F51" s="369"/>
      <c r="G51" s="369"/>
      <c r="H51" s="369"/>
      <c r="I51" s="372">
        <v>1.1000000000000001</v>
      </c>
      <c r="J51" s="372">
        <v>4.5</v>
      </c>
      <c r="K51" s="375" t="s">
        <v>114</v>
      </c>
      <c r="L51" s="374" t="s">
        <v>115</v>
      </c>
      <c r="M51" s="362">
        <f>ROUND((F46*(I51*G46/3600)),4)</f>
        <v>9.1999999999999998E-3</v>
      </c>
      <c r="N51" s="362">
        <f>ROUND(((E46*(J51*H46/1000))),4)</f>
        <v>2.3E-3</v>
      </c>
    </row>
    <row r="52" spans="1:16" s="95" customFormat="1" ht="15.95" customHeight="1" x14ac:dyDescent="0.2">
      <c r="A52" s="368"/>
      <c r="B52" s="368"/>
      <c r="C52" s="368"/>
      <c r="D52" s="368"/>
      <c r="E52" s="368"/>
      <c r="F52" s="369"/>
      <c r="G52" s="369"/>
      <c r="H52" s="369"/>
      <c r="I52" s="376">
        <v>0.15</v>
      </c>
      <c r="J52" s="376">
        <v>0.6</v>
      </c>
      <c r="K52" s="375" t="s">
        <v>117</v>
      </c>
      <c r="L52" s="374" t="s">
        <v>118</v>
      </c>
      <c r="M52" s="362">
        <f>ROUND((F46*(I52*G46/3600)),4)</f>
        <v>1.2999999999999999E-3</v>
      </c>
      <c r="N52" s="362">
        <f>ROUND(((E46*(J52*H46/1000))),5)</f>
        <v>2.9999999999999997E-4</v>
      </c>
    </row>
    <row r="53" spans="1:16" s="95" customFormat="1" ht="15.95" customHeight="1" x14ac:dyDescent="0.2">
      <c r="A53" s="377"/>
      <c r="B53" s="377"/>
      <c r="C53" s="377"/>
      <c r="D53" s="378"/>
      <c r="E53" s="377"/>
      <c r="F53" s="379"/>
      <c r="G53" s="379"/>
      <c r="H53" s="379"/>
      <c r="I53" s="372">
        <v>1.2999999999999999E-5</v>
      </c>
      <c r="J53" s="372">
        <v>5.5000000000000002E-5</v>
      </c>
      <c r="K53" s="375" t="s">
        <v>404</v>
      </c>
      <c r="L53" s="374" t="s">
        <v>405</v>
      </c>
      <c r="M53" s="362">
        <f>ROUND((F46*(I53*G46/3600)),7)</f>
        <v>9.9999999999999995E-8</v>
      </c>
      <c r="N53" s="362">
        <f>ROUND(((E46*(J53*H46/1000))),8)</f>
        <v>2.9999999999999997E-8</v>
      </c>
      <c r="O53" s="95">
        <f>SUM(M46:M53)</f>
        <v>0.18620009999999995</v>
      </c>
      <c r="P53" s="95">
        <f>SUM(N46:N53)</f>
        <v>4.6600029999999994E-2</v>
      </c>
    </row>
  </sheetData>
  <mergeCells count="29">
    <mergeCell ref="A12:N12"/>
    <mergeCell ref="A4:N4"/>
    <mergeCell ref="A10:J10"/>
    <mergeCell ref="A1:M1"/>
    <mergeCell ref="A6:J6"/>
    <mergeCell ref="A8:J8"/>
    <mergeCell ref="A13:J13"/>
    <mergeCell ref="A14:J14"/>
    <mergeCell ref="A15:J15"/>
    <mergeCell ref="A21:A22"/>
    <mergeCell ref="B21:B22"/>
    <mergeCell ref="C21:C22"/>
    <mergeCell ref="D21:D22"/>
    <mergeCell ref="E21:F21"/>
    <mergeCell ref="G21:G22"/>
    <mergeCell ref="A18:N18"/>
    <mergeCell ref="A44:N44"/>
    <mergeCell ref="A45:N45"/>
    <mergeCell ref="B46:B48"/>
    <mergeCell ref="H21:H22"/>
    <mergeCell ref="I21:J21"/>
    <mergeCell ref="L21:L22"/>
    <mergeCell ref="M21:N21"/>
    <mergeCell ref="B26:B28"/>
    <mergeCell ref="A24:N24"/>
    <mergeCell ref="A25:N25"/>
    <mergeCell ref="A34:N34"/>
    <mergeCell ref="B36:B38"/>
    <mergeCell ref="A35:N35"/>
  </mergeCells>
  <pageMargins left="0.31496062992125984" right="0.31496062992125984" top="0.78740157480314965" bottom="0.39370078740157483" header="0.31496062992125984" footer="0.31496062992125984"/>
  <pageSetup paperSize="9" firstPageNumber="254" orientation="landscape" useFirstPageNumber="1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16</vt:i4>
      </vt:variant>
    </vt:vector>
  </HeadingPairs>
  <TitlesOfParts>
    <vt:vector size="27" baseType="lpstr">
      <vt:lpstr>введение</vt:lpstr>
      <vt:lpstr>содержание</vt:lpstr>
      <vt:lpstr>3.1снятие ПРС бульдозер</vt:lpstr>
      <vt:lpstr>3.2погрузка экскаватора</vt:lpstr>
      <vt:lpstr>3.3земляные работы</vt:lpstr>
      <vt:lpstr>3.4транспортирование</vt:lpstr>
      <vt:lpstr>3.5сварка</vt:lpstr>
      <vt:lpstr>3.6 топливозаправщик</vt:lpstr>
      <vt:lpstr>3.7ДЭС</vt:lpstr>
      <vt:lpstr>3.8автотранспорт</vt:lpstr>
      <vt:lpstr>ИТОГО ТС</vt:lpstr>
      <vt:lpstr>'3.1снятие ПРС бульдозер'!Заголовки_для_печати</vt:lpstr>
      <vt:lpstr>'3.2погрузка экскаватора'!Заголовки_для_печати</vt:lpstr>
      <vt:lpstr>'3.3земляные работы'!Заголовки_для_печати</vt:lpstr>
      <vt:lpstr>'3.4транспортирование'!Заголовки_для_печати</vt:lpstr>
      <vt:lpstr>'3.5сварка'!Заголовки_для_печати</vt:lpstr>
      <vt:lpstr>'3.6 топливозаправщик'!Заголовки_для_печати</vt:lpstr>
      <vt:lpstr>'3.7ДЭС'!Заголовки_для_печати</vt:lpstr>
      <vt:lpstr>'3.8автотранспорт'!Заголовки_для_печати</vt:lpstr>
      <vt:lpstr>'3.1снятие ПРС бульдозер'!Область_печати</vt:lpstr>
      <vt:lpstr>'3.2погрузка экскаватора'!Область_печати</vt:lpstr>
      <vt:lpstr>'3.3земляные работы'!Область_печати</vt:lpstr>
      <vt:lpstr>'3.4транспортирование'!Область_печати</vt:lpstr>
      <vt:lpstr>'3.5сварка'!Область_печати</vt:lpstr>
      <vt:lpstr>'3.6 топливозаправщик'!Область_печати</vt:lpstr>
      <vt:lpstr>'3.7ДЭС'!Область_печати</vt:lpstr>
      <vt:lpstr>'3.8автотранспорт'!Область_печати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cp:lastPrinted>2025-07-28T09:27:24Z</cp:lastPrinted>
  <dcterms:created xsi:type="dcterms:W3CDTF">2025-04-29T07:54:55Z</dcterms:created>
  <dcterms:modified xsi:type="dcterms:W3CDTF">2025-09-10T07:48:08Z</dcterms:modified>
</cp:coreProperties>
</file>